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Target="xl/workbook.xml" Type="http://schemas.openxmlformats.org/officeDocument/2006/relationships/officeDocument" Id="rId1"/><Relationship Target="docProps/core.xml" Type="http://schemas.openxmlformats.org/package/2006/relationships/metadata/core-properties" Id="rId2"/><Relationship Target="docProps/app.xml" Type="http://schemas.openxmlformats.org/officeDocument/2006/relationships/extended-properties" Id="rId3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sheets>
    <sheet sheetId="1" name="Orçamento Sintético" r:id="rId4"/>
  </sheets>
  <definedNames>
    <definedName name="_xlnm.Print_Titles" localSheetId="0">'repeated header'!$4:$4</definedName>
  </definedNames>
</workbook>
</file>

<file path=xl/styles.xml><?xml version="1.0" encoding="utf-8"?>
<styleSheet xmlns="http://schemas.openxmlformats.org/spreadsheetml/2006/main">
  <numFmts count="27">
    <numFmt numFmtId="100" formatCode="yyyy/mm/dd"/>
    <numFmt numFmtId="101" formatCode="yyyy/mm/dd hh:mm:ss"/>
    <numFmt numFmtId="102" formatCode="#,##0.00"/>
    <numFmt numFmtId="103" formatCode="#,##0.00 %"/>
    <numFmt numFmtId="104" formatCode="#,##0.00"/>
    <numFmt numFmtId="105" formatCode="#,##0.00 %"/>
    <numFmt numFmtId="106" formatCode="#,##0.0000"/>
    <numFmt numFmtId="107" formatCode="#,##0.0000000"/>
    <numFmt numFmtId="108" formatCode="#,##0.00"/>
    <numFmt numFmtId="109" formatCode="#,##0.00 %"/>
    <numFmt numFmtId="110" formatCode="#,##0.0000"/>
    <numFmt numFmtId="111" formatCode="#,##0.0000000"/>
    <numFmt numFmtId="112" formatCode="#,##0.00"/>
    <numFmt numFmtId="113" formatCode="#,##0.00 %"/>
    <numFmt numFmtId="114" formatCode="#,##0.0000"/>
    <numFmt numFmtId="115" formatCode="#,##0.0000000"/>
    <numFmt numFmtId="116" formatCode="#,##0.00"/>
    <numFmt numFmtId="117" formatCode="#,##0.00 %"/>
    <numFmt numFmtId="118" formatCode="#,##0.0000"/>
    <numFmt numFmtId="119" formatCode="#,##0.0000000"/>
    <numFmt numFmtId="120" formatCode="#,##0.00"/>
    <numFmt numFmtId="121" formatCode="#,##0.0000"/>
    <numFmt numFmtId="122" formatCode="#,##0.00"/>
    <numFmt numFmtId="123" formatCode="#,##0.0000"/>
    <numFmt numFmtId="124" formatCode="#,##0.0000000"/>
    <numFmt numFmtId="125" formatCode="#,##0.00 %"/>
    <numFmt numFmtId="126" formatCode="#,##0.00"/>
  </numFmts>
  <fonts count="75">
    <font>
      <name val="Arial"/>
      <sz val="11"/>
      <family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b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</font>
  </fonts>
  <fills count="7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3FCFF"/>
      </patternFill>
    </fill>
    <fill>
      <patternFill patternType="solid">
        <fgColor rgb="FFF3FCFF"/>
      </patternFill>
    </fill>
    <fill>
      <patternFill patternType="solid">
        <fgColor rgb="FFF3FC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8FFF4"/>
      </patternFill>
    </fill>
    <fill>
      <patternFill patternType="solid">
        <fgColor rgb="FFF8FFF4"/>
      </patternFill>
    </fill>
    <fill>
      <patternFill patternType="solid">
        <fgColor rgb="FFF8FFF4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DF3"/>
      </patternFill>
    </fill>
    <fill>
      <patternFill patternType="solid">
        <fgColor rgb="FFFFFDF3"/>
      </patternFill>
    </fill>
    <fill>
      <patternFill patternType="solid">
        <fgColor rgb="FFFFFDF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6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top style="thick">
        <color rgb="FF000000"/>
      </top>
    </border>
    <border>
      <top style="thick">
        <color rgb="FF000000"/>
      </top>
    </border>
    <border>
      <top style="thick">
        <color rgb="FF000000"/>
      </top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bottom style="thick">
        <color rgb="FFFF5500"/>
      </bottom>
    </border>
    <border>
      <bottom style="thick">
        <color rgb="FF0092F6"/>
      </bottom>
    </border>
    <border>
      <bottom style="thick">
        <color rgb="FFFF5500"/>
      </bottom>
    </border>
    <border>
      <bottom style="thick">
        <color rgb="FFFF5500"/>
      </bottom>
    </border>
  </borders>
  <cellStyleXfs count="1">
    <xf borderId="0" numFmtId="0" fontId="0" fillId="0"/>
  </cellStyleXfs>
  <cellXfs count="77">
    <xf borderId="0" numFmtId="0" fontId="0" fillId="0" xfId="0"/>
    <xf borderId="1" numFmtId="0" fontId="0" fillId="0" xfId="0"/>
    <xf borderId="0" numFmtId="14" fontId="0" fillId="0" xfId="0" applyNumberFormat="1"/>
    <xf borderId="0" numFmtId="0" fontId="1" fillId="2" applyNumberFormat="0" applyFill="1" applyFont="1" applyBorder="0" applyAlignment="1" applyProtection="0">
      <alignment horizontal="left" vertical="top" wrapText="1"/>
    </xf>
    <xf borderId="0" numFmtId="0" fontId="2" fillId="3" applyNumberFormat="0" applyFill="1" applyFont="1" applyBorder="0" applyAlignment="1" applyProtection="0">
      <alignment horizontal="center" vertical="bottom" wrapText="1"/>
    </xf>
    <xf borderId="2" numFmtId="0" fontId="3" fillId="4" applyNumberFormat="0" applyFill="1" applyFont="1" applyBorder="1" applyAlignment="1" applyProtection="0">
      <alignment horizontal="left" vertical="top" wrapText="1"/>
    </xf>
    <xf borderId="3" numFmtId="0" fontId="4" fillId="5" applyNumberFormat="0" applyFill="1" applyFont="1" applyBorder="1" applyAlignment="1" applyProtection="0">
      <alignment horizontal="center" vertical="top" wrapText="1"/>
    </xf>
    <xf borderId="4" numFmtId="0" fontId="5" fillId="6" applyNumberFormat="0" applyFill="1" applyFont="1" applyBorder="1" applyAlignment="1" applyProtection="0">
      <alignment horizontal="right" vertical="top" wrapText="1"/>
    </xf>
    <xf borderId="5" numFmtId="0" fontId="6" fillId="7" applyNumberFormat="0" applyFill="1" applyFont="1" applyBorder="1" applyAlignment="1" applyProtection="0">
      <alignment horizontal="left" vertical="top" wrapText="1"/>
    </xf>
    <xf borderId="6" numFmtId="0" fontId="7" fillId="8" applyNumberFormat="0" applyFill="1" applyFont="1" applyBorder="1" applyAlignment="1" applyProtection="0">
      <alignment horizontal="center" vertical="top" wrapText="1"/>
    </xf>
    <xf borderId="7" numFmtId="0" fontId="8" fillId="9" applyNumberFormat="0" applyFill="1" applyFont="1" applyBorder="1" applyAlignment="1" applyProtection="0">
      <alignment horizontal="right" vertical="top" wrapText="1"/>
    </xf>
    <xf borderId="8" numFmtId="102" fontId="9" fillId="10" applyNumberFormat="1" applyFill="1" applyFont="1" applyBorder="1" applyAlignment="1" applyProtection="0">
      <alignment horizontal="right" vertical="top" wrapText="1"/>
    </xf>
    <xf borderId="9" numFmtId="103" fontId="10" fillId="11" applyNumberFormat="1" applyFill="1" applyFont="1" applyBorder="1" applyAlignment="1" applyProtection="0">
      <alignment horizontal="right" vertical="top" wrapText="1"/>
    </xf>
    <xf borderId="10" numFmtId="0" fontId="11" fillId="12" applyNumberFormat="0" applyFill="1" applyFont="1" applyBorder="1" applyAlignment="1" applyProtection="0">
      <alignment horizontal="left" vertical="top" wrapText="1"/>
    </xf>
    <xf borderId="11" numFmtId="0" fontId="12" fillId="13" applyNumberFormat="0" applyFill="1" applyFont="1" applyBorder="1" applyAlignment="1" applyProtection="0">
      <alignment horizontal="center" vertical="top" wrapText="1"/>
    </xf>
    <xf borderId="12" numFmtId="0" fontId="13" fillId="14" applyNumberFormat="0" applyFill="1" applyFont="1" applyBorder="1" applyAlignment="1" applyProtection="0">
      <alignment horizontal="right" vertical="top" wrapText="1"/>
    </xf>
    <xf borderId="13" numFmtId="0" fontId="14" fillId="15" applyNumberFormat="0" applyFill="1" applyFont="1" applyBorder="1" applyAlignment="1" applyProtection="0">
      <alignment horizontal="left" vertical="top" wrapText="1"/>
    </xf>
    <xf borderId="14" numFmtId="0" fontId="15" fillId="16" applyNumberFormat="0" applyFill="1" applyFont="1" applyBorder="1" applyAlignment="1" applyProtection="0">
      <alignment horizontal="center" vertical="top" wrapText="1"/>
    </xf>
    <xf borderId="15" numFmtId="0" fontId="16" fillId="17" applyNumberFormat="0" applyFill="1" applyFont="1" applyBorder="1" applyAlignment="1" applyProtection="0">
      <alignment horizontal="right" vertical="top" wrapText="1"/>
    </xf>
    <xf borderId="16" numFmtId="104" fontId="17" fillId="18" applyNumberFormat="1" applyFill="1" applyFont="1" applyBorder="1" applyAlignment="1" applyProtection="0">
      <alignment horizontal="right" vertical="top" wrapText="1"/>
    </xf>
    <xf borderId="17" numFmtId="105" fontId="18" fillId="19" applyNumberFormat="1" applyFill="1" applyFont="1" applyBorder="1" applyAlignment="1" applyProtection="0">
      <alignment horizontal="right" vertical="top" wrapText="1"/>
    </xf>
    <xf borderId="18" numFmtId="106" fontId="19" fillId="20" applyNumberFormat="1" applyFill="1" applyFont="1" applyBorder="1" applyAlignment="1" applyProtection="0">
      <alignment horizontal="right" vertical="top" wrapText="1"/>
    </xf>
    <xf borderId="19" numFmtId="107" fontId="20" fillId="21" applyNumberFormat="1" applyFill="1" applyFont="1" applyBorder="1" applyAlignment="1" applyProtection="0">
      <alignment horizontal="right" vertical="top" wrapText="1"/>
    </xf>
    <xf borderId="20" numFmtId="0" fontId="21" fillId="22" applyNumberFormat="0" applyFill="1" applyFont="1" applyBorder="1" applyAlignment="1" applyProtection="0">
      <alignment horizontal="right" vertical="top" wrapText="1"/>
    </xf>
    <xf borderId="21" numFmtId="0" fontId="22" fillId="23" applyNumberFormat="0" applyFill="1" applyFont="1" applyBorder="1" applyAlignment="1" applyProtection="0">
      <alignment horizontal="left" vertical="top" wrapText="1"/>
    </xf>
    <xf borderId="22" numFmtId="0" fontId="23" fillId="24" applyNumberFormat="0" applyFill="1" applyFont="1" applyBorder="1" applyAlignment="1" applyProtection="0">
      <alignment horizontal="center" vertical="top" wrapText="1"/>
    </xf>
    <xf borderId="23" numFmtId="0" fontId="24" fillId="25" applyNumberFormat="0" applyFill="1" applyFont="1" applyBorder="1" applyAlignment="1" applyProtection="0">
      <alignment horizontal="right" vertical="top" wrapText="1"/>
    </xf>
    <xf borderId="24" numFmtId="0" fontId="25" fillId="26" applyNumberFormat="0" applyFill="1" applyFont="1" applyBorder="1" applyAlignment="1" applyProtection="0">
      <alignment horizontal="left" vertical="top" wrapText="1"/>
    </xf>
    <xf borderId="25" numFmtId="0" fontId="26" fillId="27" applyNumberFormat="0" applyFill="1" applyFont="1" applyBorder="1" applyAlignment="1" applyProtection="0">
      <alignment horizontal="center" vertical="top" wrapText="1"/>
    </xf>
    <xf borderId="26" numFmtId="0" fontId="27" fillId="28" applyNumberFormat="0" applyFill="1" applyFont="1" applyBorder="1" applyAlignment="1" applyProtection="0">
      <alignment horizontal="right" vertical="top" wrapText="1"/>
    </xf>
    <xf borderId="27" numFmtId="0" fontId="28" fillId="29" applyNumberFormat="0" applyFill="1" applyFont="1" applyBorder="1" applyAlignment="1" applyProtection="0">
      <alignment horizontal="left" vertical="top" wrapText="1"/>
    </xf>
    <xf borderId="28" numFmtId="0" fontId="29" fillId="30" applyNumberFormat="0" applyFill="1" applyFont="1" applyBorder="1" applyAlignment="1" applyProtection="0">
      <alignment horizontal="center" vertical="top" wrapText="1"/>
    </xf>
    <xf borderId="29" numFmtId="0" fontId="30" fillId="31" applyNumberFormat="0" applyFill="1" applyFont="1" applyBorder="1" applyAlignment="1" applyProtection="0">
      <alignment horizontal="right" vertical="top" wrapText="1"/>
    </xf>
    <xf borderId="30" numFmtId="108" fontId="31" fillId="32" applyNumberFormat="1" applyFill="1" applyFont="1" applyBorder="1" applyAlignment="1" applyProtection="0">
      <alignment horizontal="right" vertical="top" wrapText="1"/>
    </xf>
    <xf borderId="31" numFmtId="109" fontId="32" fillId="33" applyNumberFormat="1" applyFill="1" applyFont="1" applyBorder="1" applyAlignment="1" applyProtection="0">
      <alignment horizontal="right" vertical="top" wrapText="1"/>
    </xf>
    <xf borderId="32" numFmtId="110" fontId="33" fillId="34" applyNumberFormat="1" applyFill="1" applyFont="1" applyBorder="1" applyAlignment="1" applyProtection="0">
      <alignment horizontal="right" vertical="top" wrapText="1"/>
    </xf>
    <xf borderId="33" numFmtId="111" fontId="34" fillId="35" applyNumberFormat="1" applyFill="1" applyFont="1" applyBorder="1" applyAlignment="1" applyProtection="0">
      <alignment horizontal="right" vertical="top" wrapText="1"/>
    </xf>
    <xf borderId="34" numFmtId="0" fontId="35" fillId="36" applyNumberFormat="0" applyFill="1" applyFont="1" applyBorder="1" applyAlignment="1" applyProtection="0">
      <alignment horizontal="left" vertical="top" wrapText="1"/>
    </xf>
    <xf borderId="35" numFmtId="0" fontId="36" fillId="37" applyNumberFormat="0" applyFill="1" applyFont="1" applyBorder="1" applyAlignment="1" applyProtection="0">
      <alignment horizontal="left" vertical="top" wrapText="1"/>
    </xf>
    <xf borderId="36" numFmtId="0" fontId="37" fillId="38" applyNumberFormat="0" applyFill="1" applyFont="1" applyBorder="1" applyAlignment="1" applyProtection="0">
      <alignment horizontal="center" vertical="top" wrapText="1"/>
    </xf>
    <xf borderId="37" numFmtId="0" fontId="38" fillId="39" applyNumberFormat="0" applyFill="1" applyFont="1" applyBorder="1" applyAlignment="1" applyProtection="0">
      <alignment horizontal="right" vertical="top" wrapText="1"/>
    </xf>
    <xf borderId="38" numFmtId="112" fontId="39" fillId="40" applyNumberFormat="1" applyFill="1" applyFont="1" applyBorder="1" applyAlignment="1" applyProtection="0">
      <alignment horizontal="right" vertical="top" wrapText="1"/>
    </xf>
    <xf borderId="39" numFmtId="113" fontId="40" fillId="41" applyNumberFormat="1" applyFill="1" applyFont="1" applyBorder="1" applyAlignment="1" applyProtection="0">
      <alignment horizontal="right" vertical="top" wrapText="1"/>
    </xf>
    <xf borderId="40" numFmtId="114" fontId="41" fillId="42" applyNumberFormat="1" applyFill="1" applyFont="1" applyBorder="1" applyAlignment="1" applyProtection="0">
      <alignment horizontal="right" vertical="top" wrapText="1"/>
    </xf>
    <xf borderId="41" numFmtId="115" fontId="42" fillId="43" applyNumberFormat="1" applyFill="1" applyFont="1" applyBorder="1" applyAlignment="1" applyProtection="0">
      <alignment horizontal="right" vertical="top" wrapText="1"/>
    </xf>
    <xf borderId="42" numFmtId="0" fontId="43" fillId="44" applyNumberFormat="0" applyFill="1" applyFont="1" applyBorder="1" applyAlignment="1" applyProtection="0">
      <alignment horizontal="left" vertical="top" wrapText="1"/>
    </xf>
    <xf borderId="43" numFmtId="0" fontId="44" fillId="45" applyNumberFormat="0" applyFill="1" applyFont="1" applyBorder="1" applyAlignment="1" applyProtection="0">
      <alignment horizontal="center" vertical="top" wrapText="1"/>
    </xf>
    <xf borderId="44" numFmtId="0" fontId="45" fillId="46" applyNumberFormat="0" applyFill="1" applyFont="1" applyBorder="1" applyAlignment="1" applyProtection="0">
      <alignment horizontal="right" vertical="top" wrapText="1"/>
    </xf>
    <xf borderId="45" numFmtId="116" fontId="46" fillId="47" applyNumberFormat="1" applyFill="1" applyFont="1" applyBorder="1" applyAlignment="1" applyProtection="0">
      <alignment horizontal="right" vertical="top" wrapText="1"/>
    </xf>
    <xf borderId="46" numFmtId="117" fontId="47" fillId="48" applyNumberFormat="1" applyFill="1" applyFont="1" applyBorder="1" applyAlignment="1" applyProtection="0">
      <alignment horizontal="right" vertical="top" wrapText="1"/>
    </xf>
    <xf borderId="47" numFmtId="118" fontId="48" fillId="49" applyNumberFormat="1" applyFill="1" applyFont="1" applyBorder="1" applyAlignment="1" applyProtection="0">
      <alignment horizontal="right" vertical="top" wrapText="1"/>
    </xf>
    <xf borderId="48" numFmtId="119" fontId="49" fillId="50" applyNumberFormat="1" applyFill="1" applyFont="1" applyBorder="1" applyAlignment="1" applyProtection="0">
      <alignment horizontal="right" vertical="top" wrapText="1"/>
    </xf>
    <xf borderId="49" numFmtId="0" fontId="50" fillId="51" applyNumberFormat="0" applyFill="1" applyFont="1" applyBorder="1" applyAlignment="1" applyProtection="0">
      <alignment horizontal="right" vertical="top" wrapText="1"/>
    </xf>
    <xf borderId="50" numFmtId="0" fontId="51" fillId="52" applyNumberFormat="0" applyFill="1" applyFont="1" applyBorder="1" applyAlignment="1" applyProtection="0">
      <alignment horizontal="left" vertical="top" wrapText="1"/>
    </xf>
    <xf borderId="51" numFmtId="0" fontId="52" fillId="53" applyNumberFormat="0" applyFill="1" applyFont="1" applyBorder="1" applyAlignment="1" applyProtection="0">
      <alignment horizontal="center" vertical="top" wrapText="1"/>
    </xf>
    <xf borderId="52" numFmtId="0" fontId="53" fillId="54" applyNumberFormat="0" applyFill="1" applyFont="1" applyBorder="1" applyAlignment="1" applyProtection="0">
      <alignment horizontal="right" vertical="top" wrapText="1"/>
    </xf>
    <xf borderId="0" numFmtId="0" fontId="54" fillId="55" applyNumberFormat="0" applyFill="1" applyFont="1" applyBorder="0" applyAlignment="1" applyProtection="0">
      <alignment horizontal="left" vertical="top" wrapText="1"/>
    </xf>
    <xf borderId="0" numFmtId="0" fontId="55" fillId="56" applyNumberFormat="0" applyFill="1" applyFont="1" applyBorder="0" applyAlignment="1" applyProtection="0">
      <alignment horizontal="center" vertical="top" wrapText="1"/>
    </xf>
    <xf borderId="0" numFmtId="0" fontId="56" fillId="57" applyNumberFormat="0" applyFill="1" applyFont="1" applyBorder="0" applyAlignment="1" applyProtection="0">
      <alignment horizontal="right" vertical="top" wrapText="1"/>
    </xf>
    <xf borderId="0" numFmtId="120" fontId="57" fillId="58" applyNumberFormat="1" applyFill="1" applyFont="1" applyBorder="0" applyAlignment="1" applyProtection="0">
      <alignment horizontal="right" vertical="top" wrapText="1"/>
    </xf>
    <xf borderId="0" numFmtId="121" fontId="58" fillId="59" applyNumberFormat="1" applyFill="1" applyFont="1" applyBorder="0" applyAlignment="1" applyProtection="0">
      <alignment horizontal="right" vertical="top" wrapText="1"/>
    </xf>
    <xf borderId="0" numFmtId="122" fontId="59" fillId="60" applyNumberFormat="1" applyFill="1" applyFont="1" applyBorder="0" applyAlignment="1" applyProtection="0">
      <alignment horizontal="left" vertical="top" wrapText="1"/>
    </xf>
    <xf borderId="0" numFmtId="123" fontId="60" fillId="61" applyNumberFormat="1" applyFill="1" applyFont="1" applyBorder="0" applyAlignment="1" applyProtection="0">
      <alignment horizontal="left" vertical="top" wrapText="1"/>
    </xf>
    <xf borderId="0" numFmtId="124" fontId="61" fillId="62" applyNumberFormat="1" applyFill="1" applyFont="1" applyBorder="0" applyAlignment="1" applyProtection="0">
      <alignment horizontal="right" vertical="top" wrapText="1"/>
    </xf>
    <xf borderId="0" numFmtId="125" fontId="62" fillId="63" applyNumberFormat="1" applyFill="1" applyFont="1" applyBorder="0" applyAlignment="1" applyProtection="0">
      <alignment horizontal="right" vertical="top" wrapText="1"/>
    </xf>
    <xf borderId="0" numFmtId="0" fontId="63" fillId="64" applyNumberFormat="0" applyFill="1" applyFont="1" applyBorder="0" applyAlignment="1" applyProtection="0">
      <alignment horizontal="left" vertical="top" wrapText="1"/>
    </xf>
    <xf borderId="0" numFmtId="0" fontId="64" fillId="65" applyNumberFormat="0" applyFill="1" applyFont="1" applyBorder="0" applyAlignment="1" applyProtection="0">
      <alignment horizontal="center" vertical="top" wrapText="1"/>
    </xf>
    <xf borderId="0" numFmtId="0" fontId="65" fillId="66" applyNumberFormat="0" applyFill="1" applyFont="1" applyBorder="0" applyAlignment="1" applyProtection="0">
      <alignment horizontal="right" vertical="top" wrapText="1"/>
    </xf>
    <xf borderId="0" numFmtId="126" fontId="66" fillId="67" applyNumberFormat="1" applyFill="1" applyFont="1" applyBorder="0" applyAlignment="1" applyProtection="0">
      <alignment horizontal="right" vertical="top" wrapText="1"/>
    </xf>
    <xf borderId="53" numFmtId="0" fontId="67" fillId="68" applyNumberFormat="0" applyFill="1" applyFont="1" applyBorder="1" applyAlignment="1" applyProtection="0">
      <alignment horizontal="left" vertical="top" wrapText="1"/>
    </xf>
    <xf borderId="54" numFmtId="0" fontId="68" fillId="69" applyNumberFormat="0" applyFill="1" applyFont="1" applyBorder="1" applyAlignment="1" applyProtection="0">
      <alignment horizontal="center" vertical="top" wrapText="1"/>
    </xf>
    <xf borderId="55" numFmtId="0" fontId="69" fillId="70" applyNumberFormat="0" applyFill="1" applyFont="1" applyBorder="1" applyAlignment="1" applyProtection="0">
      <alignment horizontal="right" vertical="top" wrapText="1"/>
    </xf>
    <xf borderId="56" numFmtId="0" fontId="70" fillId="71" applyNumberFormat="0" applyFill="1" applyFont="1" applyBorder="1" applyAlignment="1" applyProtection="0">
      <alignment horizontal="right" vertical="top" wrapText="1"/>
    </xf>
    <xf borderId="57" numFmtId="0" fontId="71" fillId="72" applyNumberFormat="0" applyFill="1" applyFont="1" applyBorder="1" applyAlignment="1" applyProtection="0">
      <alignment horizontal="right" vertical="top" wrapText="1"/>
    </xf>
    <xf borderId="58" numFmtId="0" fontId="72" fillId="73" applyNumberFormat="0" applyFill="1" applyFont="1" applyBorder="1" applyAlignment="1" applyProtection="0">
      <alignment horizontal="right" vertical="top" wrapText="1"/>
    </xf>
    <xf borderId="59" numFmtId="0" fontId="73" fillId="74" applyNumberFormat="0" applyFill="1" applyFont="1" applyBorder="1" applyAlignment="1" applyProtection="0">
      <alignment horizontal="right" vertical="top" wrapText="1"/>
    </xf>
    <xf borderId="0" numFmtId="0" fontId="74" fillId="75" applyNumberFormat="0" applyFill="1" applyFont="1" applyBorder="0" applyAlignment="1" applyProtection="0">
      <alignment horizontal="center" wrapText="1"/>
    </xf>
  </cellXfs>
  <cellStyles count="1">
    <cellStyle name="Normal" xfId="0"/>
  </cellStyles>
  <dxfs count="0"/>
  <tableStyles defaultTableStyle="TableStyleMedium9" defaultPivotStyle="PivotStyleLight16" count="0"/>
</styleSheet>
</file>

<file path=xl/_rels/workbook.xml.rels><?xml version="1.0" encoding="UTF-8"?><Relationships xmlns="http://schemas.openxmlformats.org/package/2006/relationships"><Relationship Target="worksheets/sheet1.xml" Type="http://schemas.openxmlformats.org/officeDocument/2006/relationships/worksheet" Id="rId4"/><Relationship Target="styles.xml" Type="http://schemas.openxmlformats.org/officeDocument/2006/relationships/styles" Id="rId5"/></Relationships>
</file>

<file path=xl/worksheets/_rels/sheet1.xml.rels><?xml version="1.0" encoding="UTF-8"?>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pageSetUpPr fitToPage="1"/>
  </sheetPr>
  <dimension ref="A1:A528"/>
  <sheetViews>
    <sheetView windowProtection="0" tabSelected="0" showWhiteSpace="0" showOutlineSymbols="0" showFormulas="0" rightToLeft="0" showZeros="1" showRuler="1" showRowColHeaders="1" showGridLines="1" defaultGridColor="1" zoomScale="100" workbookViewId="0" zoomScaleSheetLayoutView="0" zoomScalePageLayoutView="0" zoomScaleNormal="0"/>
  </sheetViews>
  <sheetFormatPr baseColWidth="8" defaultRowHeight="18"/>
  <cols>
    <col min="1" max="1" bestFit="1" customWidth="1" width="10"/>
    <col min="2" max="2" bestFit="1" customWidth="1" width="10"/>
    <col min="3" max="3" bestFit="1" customWidth="1" width="13.2"/>
    <col min="4" max="4" bestFit="1" customWidth="1" width="60"/>
    <col min="5" max="5" bestFit="1" customWidth="1" width="8"/>
    <col min="6" max="6" bestFit="1" customWidth="1" width="13"/>
    <col min="7" max="7" bestFit="1" customWidth="1" width="13"/>
    <col min="8" max="8" bestFit="1" customWidth="1" width="13"/>
    <col min="9" max="9" bestFit="1" customWidth="1" width="13"/>
    <col min="10" max="10" bestFit="1" customWidth="1" width="13"/>
  </cols>
  <sheetData>
    <row r="1">
      <c r="A1" s="3"/>
      <c r="B1" s="3"/>
      <c r="C1" s="3"/>
      <c r="D1" s="3" t="inlineStr">
        <is>
          <t>Obra</t>
        </is>
      </c>
      <c r="E1" s="3" t="inlineStr">
        <is>
          <t>Bancos</t>
        </is>
      </c>
      <c r="F1" s="3"/>
      <c r="G1" s="3" t="inlineStr">
        <is>
          <t>B.D.I.</t>
        </is>
      </c>
      <c r="H1" s="3"/>
      <c r="I1" s="3" t="inlineStr">
        <is>
          <t>Encargos Sociais</t>
        </is>
      </c>
      <c r="J1" s="3"/>
    </row>
    <row customHeight="1" ht="80" r="2">
      <c r="A2" s="56"/>
      <c r="B2" s="56"/>
      <c r="C2" s="56"/>
      <c r="D2" s="56" t="inlineStr">
        <is>
          <t>Cópia de: POLICIA FEDERAL MACAPÁ - RESIDÊNCIAS FUNCIONAIS (CASA 1,3, 4) DESONERADO</t>
        </is>
      </c>
      <c r="E2" s="56" t="inlineStr">
        <is>
          <t>SINAPI - 02/2024 - Amapá
SBC - 04/2024 - Amapá
SICRO3 - 10/2023 - Amapá
ORSE - 02/2024 - Sergipe
SEDOP - 02/2024 - Pará
</t>
        </is>
      </c>
      <c r="F2" s="56"/>
      <c r="G2" s="56" t="inlineStr">
        <is>
          <t>32,78%</t>
        </is>
      </c>
      <c r="H2" s="56"/>
      <c r="I2" s="56" t="inlineStr">
        <is>
          <t>Desonerado: 
Horista: 115,02%
Mensalista: 70,88%</t>
        </is>
      </c>
      <c r="J2" s="56"/>
    </row>
    <row r="3">
      <c r="A3" s="4" t="inlineStr">
        <is>
          <t>Orçamento Sintético</t>
        </is>
      </c>
    </row>
    <row customHeight="1" ht="30" r="4">
      <c r="A4" s="5" t="inlineStr">
        <is>
          <t>Item</t>
        </is>
      </c>
      <c r="B4" s="7" t="inlineStr">
        <is>
          <t>Código</t>
        </is>
      </c>
      <c r="C4" s="5" t="inlineStr">
        <is>
          <t>Banco</t>
        </is>
      </c>
      <c r="D4" s="5" t="inlineStr">
        <is>
          <t>Descrição</t>
        </is>
      </c>
      <c r="E4" s="6" t="inlineStr">
        <is>
          <t>Und</t>
        </is>
      </c>
      <c r="F4" s="7" t="inlineStr">
        <is>
          <t>Quant.</t>
        </is>
      </c>
      <c r="G4" s="7" t="inlineStr">
        <is>
          <t>Valor Unit</t>
        </is>
      </c>
      <c r="H4" s="7" t="inlineStr">
        <is>
          <t>Valor Unit com BDI</t>
        </is>
      </c>
      <c r="I4" s="7" t="inlineStr">
        <is>
          <t>Total</t>
        </is>
      </c>
      <c r="J4" s="7" t="inlineStr">
        <is>
          <t>Peso (%)</t>
        </is>
      </c>
    </row>
    <row customHeight="1" ht="24" r="5">
      <c r="A5" s="8" t="inlineStr">
        <is>
          <t> 1 </t>
        </is>
      </c>
      <c r="B5" s="8"/>
      <c r="C5" s="8"/>
      <c r="D5" s="8" t="inlineStr">
        <is>
          <t>SERVIÇOS PRELIMINARES</t>
        </is>
      </c>
      <c r="E5" s="8"/>
      <c r="F5" s="10"/>
      <c r="G5" s="8"/>
      <c r="H5" s="8"/>
      <c r="I5" s="11" t="n">
        <v>143063.62201478775</v>
      </c>
      <c r="J5" s="12" t="str">
        <f>i5 / 1181066.0424007571906268</f>
      </c>
    </row>
    <row customHeight="1" ht="24" r="6">
      <c r="A6" s="16" t="inlineStr">
        <is>
          <t> 1.1 </t>
        </is>
      </c>
      <c r="B6" s="18" t="inlineStr">
        <is>
          <t> 74209/001 </t>
        </is>
      </c>
      <c r="C6" s="16" t="inlineStr">
        <is>
          <t>SINAPI</t>
        </is>
      </c>
      <c r="D6" s="16" t="inlineStr">
        <is>
          <t>PLACA DE OBRA EM CHAPA DE ACO GALVANIZADO</t>
        </is>
      </c>
      <c r="E6" s="17" t="inlineStr">
        <is>
          <t>m²</t>
        </is>
      </c>
      <c r="F6" s="18" t="n">
        <v>24.0</v>
      </c>
      <c r="G6" s="19" t="n">
        <v>356.630803788</v>
      </c>
      <c r="H6" s="19" t="str">
        <f>ROUND(G6 * (1 + 32.78 / 100), 9)</f>
      </c>
      <c r="I6" s="19" t="str">
        <f>ROUND(F6 * h6, 9)</f>
      </c>
      <c r="J6" s="20" t="str">
        <f>i6 / 1181066.0424007571906268</f>
      </c>
    </row>
    <row customHeight="1" ht="24" r="7">
      <c r="A7" s="16" t="inlineStr">
        <is>
          <t> 1.2 </t>
        </is>
      </c>
      <c r="B7" s="18" t="inlineStr">
        <is>
          <t> 00000171 </t>
        </is>
      </c>
      <c r="C7" s="16" t="inlineStr">
        <is>
          <t>Próprio</t>
        </is>
      </c>
      <c r="D7" s="16" t="inlineStr">
        <is>
          <t>TAXAS E EMOLUMENTOS</t>
        </is>
      </c>
      <c r="E7" s="17" t="inlineStr">
        <is>
          <t>UND</t>
        </is>
      </c>
      <c r="F7" s="18" t="n">
        <v>1.0</v>
      </c>
      <c r="G7" s="19" t="n">
        <v>8783.6</v>
      </c>
      <c r="H7" s="19" t="str">
        <f>ROUND(G7 * (1 + 32.78 / 100), 9)</f>
      </c>
      <c r="I7" s="19" t="str">
        <f>ROUND(F7 * h7, 9)</f>
      </c>
      <c r="J7" s="20" t="str">
        <f>i7 / 1181066.0424007571906268</f>
      </c>
    </row>
    <row customHeight="1" ht="24" r="8">
      <c r="A8" s="16" t="inlineStr">
        <is>
          <t> 1.3 </t>
        </is>
      </c>
      <c r="B8" s="18" t="inlineStr">
        <is>
          <t> 00000170 </t>
        </is>
      </c>
      <c r="C8" s="16" t="inlineStr">
        <is>
          <t>Próprio</t>
        </is>
      </c>
      <c r="D8" s="16" t="inlineStr">
        <is>
          <t>ADMINISTRAÇÃO DE OBRA</t>
        </is>
      </c>
      <c r="E8" s="17" t="inlineStr">
        <is>
          <t>mês</t>
        </is>
      </c>
      <c r="F8" s="18" t="n">
        <v>6.0</v>
      </c>
      <c r="G8" s="19" t="n">
        <v>14570.537088</v>
      </c>
      <c r="H8" s="19" t="str">
        <f>ROUND(G8 * (1 + 32.78 / 100), 9)</f>
      </c>
      <c r="I8" s="19" t="str">
        <f>ROUND(F8 * h8, 9)</f>
      </c>
      <c r="J8" s="20" t="str">
        <f>i8 / 1181066.0424007571906268</f>
      </c>
    </row>
    <row customHeight="1" ht="39" r="9">
      <c r="A9" s="16" t="inlineStr">
        <is>
          <t> 1.4 </t>
        </is>
      </c>
      <c r="B9" s="18" t="inlineStr">
        <is>
          <t> 99059 </t>
        </is>
      </c>
      <c r="C9" s="16" t="inlineStr">
        <is>
          <t>SINAPI</t>
        </is>
      </c>
      <c r="D9" s="16" t="inlineStr">
        <is>
          <t>LOCACAO CONVENCIONAL DE OBRA, UTILIZANDO GABARITO DE TÁBUAS CORRIDAS PONTALETADAS A CADA 2,00M -  2 UTILIZAÇÕES. AF_10/2018</t>
        </is>
      </c>
      <c r="E9" s="17" t="inlineStr">
        <is>
          <t>M</t>
        </is>
      </c>
      <c r="F9" s="18" t="n">
        <v>64.9</v>
      </c>
      <c r="G9" s="19" t="n">
        <v>45.899781995</v>
      </c>
      <c r="H9" s="19" t="str">
        <f>ROUND(G9 * (1 + 32.78 / 100), 9)</f>
      </c>
      <c r="I9" s="19" t="str">
        <f>ROUND(F9 * h9, 9)</f>
      </c>
      <c r="J9" s="20" t="str">
        <f>i9 / 1181066.0424007571906268</f>
      </c>
    </row>
    <row customHeight="1" ht="24" r="10">
      <c r="A10" s="8" t="inlineStr">
        <is>
          <t> 2 </t>
        </is>
      </c>
      <c r="B10" s="8"/>
      <c r="C10" s="8"/>
      <c r="D10" s="8" t="inlineStr">
        <is>
          <t>RESIDÊNCIA 01</t>
        </is>
      </c>
      <c r="E10" s="8"/>
      <c r="F10" s="10"/>
      <c r="G10" s="8"/>
      <c r="H10" s="8"/>
      <c r="I10" s="11" t="n">
        <v>371777.31708271307</v>
      </c>
      <c r="J10" s="12" t="str">
        <f>i10 / 1181066.0424007571906268</f>
      </c>
    </row>
    <row customHeight="1" ht="24" r="11">
      <c r="A11" s="8" t="inlineStr">
        <is>
          <t> 2.1 </t>
        </is>
      </c>
      <c r="B11" s="8"/>
      <c r="C11" s="8"/>
      <c r="D11" s="8" t="inlineStr">
        <is>
          <t>DEMOLIÇÕES E RETIRADAS</t>
        </is>
      </c>
      <c r="E11" s="8"/>
      <c r="F11" s="10"/>
      <c r="G11" s="8"/>
      <c r="H11" s="8"/>
      <c r="I11" s="11" t="n">
        <v>6941.45601951659</v>
      </c>
      <c r="J11" s="12" t="str">
        <f>i11 / 1181066.0424007571906268</f>
      </c>
    </row>
    <row customHeight="1" ht="26" r="12">
      <c r="A12" s="16" t="inlineStr">
        <is>
          <t> 2.1.1 </t>
        </is>
      </c>
      <c r="B12" s="18" t="inlineStr">
        <is>
          <t> 97622 </t>
        </is>
      </c>
      <c r="C12" s="16" t="inlineStr">
        <is>
          <t>SINAPI</t>
        </is>
      </c>
      <c r="D12" s="16" t="inlineStr">
        <is>
          <t>DEMOLIÇÃO DE ALVENARIA DE BLOCO FURADO, DE FORMA MANUAL, SEM REAPROVEITAMENTO. AF_12/2017</t>
        </is>
      </c>
      <c r="E12" s="17" t="inlineStr">
        <is>
          <t>m³</t>
        </is>
      </c>
      <c r="F12" s="18" t="n">
        <v>3.12</v>
      </c>
      <c r="G12" s="19" t="n">
        <v>43.867891081</v>
      </c>
      <c r="H12" s="19" t="str">
        <f>ROUND(G12 * (1 + 32.78 / 100), 9)</f>
      </c>
      <c r="I12" s="19" t="str">
        <f>ROUND(F12 * h12, 9)</f>
      </c>
      <c r="J12" s="20" t="str">
        <f>i12 / 1181066.0424007571906268</f>
      </c>
    </row>
    <row customHeight="1" ht="26" r="13">
      <c r="A13" s="16" t="inlineStr">
        <is>
          <t> 2.1.2 </t>
        </is>
      </c>
      <c r="B13" s="18" t="inlineStr">
        <is>
          <t> 97644 </t>
        </is>
      </c>
      <c r="C13" s="16" t="inlineStr">
        <is>
          <t>SINAPI</t>
        </is>
      </c>
      <c r="D13" s="16" t="inlineStr">
        <is>
          <t>REMOÇÃO DE PORTAS, DE FORMA MANUAL, SEM REAPROVEITAMENTO. AF_12/2017</t>
        </is>
      </c>
      <c r="E13" s="17" t="inlineStr">
        <is>
          <t>m²</t>
        </is>
      </c>
      <c r="F13" s="18" t="n">
        <v>11.97</v>
      </c>
      <c r="G13" s="19" t="n">
        <v>7.414802089</v>
      </c>
      <c r="H13" s="19" t="str">
        <f>ROUND(G13 * (1 + 32.78 / 100), 9)</f>
      </c>
      <c r="I13" s="19" t="str">
        <f>ROUND(F13 * h13, 9)</f>
      </c>
      <c r="J13" s="20" t="str">
        <f>i13 / 1181066.0424007571906268</f>
      </c>
    </row>
    <row customHeight="1" ht="26" r="14">
      <c r="A14" s="16" t="inlineStr">
        <is>
          <t> 2.1.3 </t>
        </is>
      </c>
      <c r="B14" s="18" t="inlineStr">
        <is>
          <t> 97645 </t>
        </is>
      </c>
      <c r="C14" s="16" t="inlineStr">
        <is>
          <t>SINAPI</t>
        </is>
      </c>
      <c r="D14" s="16" t="inlineStr">
        <is>
          <t>REMOÇÃO DE JANELAS, DE FORMA MANUAL, SEM REAPROVEITAMENTO. AF_12/2017</t>
        </is>
      </c>
      <c r="E14" s="17" t="inlineStr">
        <is>
          <t>m²</t>
        </is>
      </c>
      <c r="F14" s="18" t="n">
        <v>10.68</v>
      </c>
      <c r="G14" s="19" t="n">
        <v>19.139779775</v>
      </c>
      <c r="H14" s="19" t="str">
        <f>ROUND(G14 * (1 + 32.78 / 100), 9)</f>
      </c>
      <c r="I14" s="19" t="str">
        <f>ROUND(F14 * h14, 9)</f>
      </c>
      <c r="J14" s="20" t="str">
        <f>i14 / 1181066.0424007571906268</f>
      </c>
    </row>
    <row customHeight="1" ht="26" r="15">
      <c r="A15" s="16" t="inlineStr">
        <is>
          <t> 2.1.4 </t>
        </is>
      </c>
      <c r="B15" s="18" t="inlineStr">
        <is>
          <t> 97640 </t>
        </is>
      </c>
      <c r="C15" s="16" t="inlineStr">
        <is>
          <t>SINAPI</t>
        </is>
      </c>
      <c r="D15" s="16" t="inlineStr">
        <is>
          <t>REMOÇÃO DE FORROS DE DRYWALL, PVC, MADEIRA E FIBROMINERAL, DE FORMA MANUAL, SEM REAPROVEITAMENTO. AF_12/2017</t>
        </is>
      </c>
      <c r="E15" s="17" t="inlineStr">
        <is>
          <t>m²</t>
        </is>
      </c>
      <c r="F15" s="18" t="n">
        <v>102.92</v>
      </c>
      <c r="G15" s="19" t="n">
        <v>1.510677907</v>
      </c>
      <c r="H15" s="19" t="str">
        <f>ROUND(G15 * (1 + 32.78 / 100), 9)</f>
      </c>
      <c r="I15" s="19" t="str">
        <f>ROUND(F15 * h15, 9)</f>
      </c>
      <c r="J15" s="20" t="str">
        <f>i15 / 1181066.0424007571906268</f>
      </c>
    </row>
    <row customHeight="1" ht="39" r="16">
      <c r="A16" s="16" t="inlineStr">
        <is>
          <t> 2.1.5 </t>
        </is>
      </c>
      <c r="B16" s="18" t="inlineStr">
        <is>
          <t> 97642 </t>
        </is>
      </c>
      <c r="C16" s="16" t="inlineStr">
        <is>
          <t>SINAPI</t>
        </is>
      </c>
      <c r="D16" s="16" t="inlineStr">
        <is>
          <t>REMOÇÃO DE TRAMA METÁLICA OU DE MADEIRA PARA FORRO, DE FORMA MANUAL, SEM REAPROVEITAMENTO. AF_12/2017</t>
        </is>
      </c>
      <c r="E16" s="17" t="inlineStr">
        <is>
          <t>m²</t>
        </is>
      </c>
      <c r="F16" s="18" t="n">
        <v>102.92</v>
      </c>
      <c r="G16" s="19" t="n">
        <v>2.164248797</v>
      </c>
      <c r="H16" s="19" t="str">
        <f>ROUND(G16 * (1 + 32.78 / 100), 9)</f>
      </c>
      <c r="I16" s="19" t="str">
        <f>ROUND(F16 * h16, 9)</f>
      </c>
      <c r="J16" s="20" t="str">
        <f>i16 / 1181066.0424007571906268</f>
      </c>
    </row>
    <row customHeight="1" ht="26" r="17">
      <c r="A17" s="16" t="inlineStr">
        <is>
          <t> 2.1.6 </t>
        </is>
      </c>
      <c r="B17" s="18" t="inlineStr">
        <is>
          <t> 97633 </t>
        </is>
      </c>
      <c r="C17" s="16" t="inlineStr">
        <is>
          <t>SINAPI</t>
        </is>
      </c>
      <c r="D17" s="16" t="inlineStr">
        <is>
          <t>DEMOLIÇÃO DE REVESTIMENTO CERÂMICO, DE FORMA MANUAL, SEM REAPROVEITAMENTO (PISO E PAREDE). AF_12/2017</t>
        </is>
      </c>
      <c r="E17" s="17" t="inlineStr">
        <is>
          <t>m²</t>
        </is>
      </c>
      <c r="F17" s="18" t="n">
        <v>189.7</v>
      </c>
      <c r="G17" s="19" t="n">
        <v>18.431892858</v>
      </c>
      <c r="H17" s="19" t="str">
        <f>ROUND(G17 * (1 + 32.78 / 100), 9)</f>
      </c>
      <c r="I17" s="19" t="str">
        <f>ROUND(F17 * h17, 9)</f>
      </c>
      <c r="J17" s="20" t="str">
        <f>i17 / 1181066.0424007571906268</f>
      </c>
    </row>
    <row customHeight="1" ht="26" r="18">
      <c r="A18" s="16" t="inlineStr">
        <is>
          <t> 2.1.7 </t>
        </is>
      </c>
      <c r="B18" s="18" t="inlineStr">
        <is>
          <t> 97663 </t>
        </is>
      </c>
      <c r="C18" s="16" t="inlineStr">
        <is>
          <t>SINAPI</t>
        </is>
      </c>
      <c r="D18" s="16" t="inlineStr">
        <is>
          <t>REMOÇÃO DE LOUÇAS, DE FORMA MANUAL, SEM REAPROVEITAMENTO. AF_12/2017</t>
        </is>
      </c>
      <c r="E18" s="17" t="inlineStr">
        <is>
          <t>UN</t>
        </is>
      </c>
      <c r="F18" s="18" t="n">
        <v>7.0</v>
      </c>
      <c r="G18" s="19" t="n">
        <v>9.768044958</v>
      </c>
      <c r="H18" s="19" t="str">
        <f>ROUND(G18 * (1 + 32.78 / 100), 9)</f>
      </c>
      <c r="I18" s="19" t="str">
        <f>ROUND(F18 * h18, 9)</f>
      </c>
      <c r="J18" s="20" t="str">
        <f>i18 / 1181066.0424007571906268</f>
      </c>
    </row>
    <row customHeight="1" ht="52" r="19">
      <c r="A19" s="16" t="inlineStr">
        <is>
          <t> 2.1.8 </t>
        </is>
      </c>
      <c r="B19" s="18" t="inlineStr">
        <is>
          <t> 100981 </t>
        </is>
      </c>
      <c r="C19" s="16" t="inlineStr">
        <is>
          <t>SINAPI</t>
        </is>
      </c>
      <c r="D19" s="16" t="inlineStr">
        <is>
          <t>EM CAMINHÃO BASCULANTE 6 M³ - CARGA COM ESCAVADEIRA HIDRÁULICA  (CAÇAMBA DE 0,80 M³ / 111 HP) E DESCARGA LIVRE (UNIDADE: M3). AF_07/2020</t>
        </is>
      </c>
      <c r="E19" s="17" t="inlineStr">
        <is>
          <t>m³</t>
        </is>
      </c>
      <c r="F19" s="18" t="n">
        <v>13.25</v>
      </c>
      <c r="G19" s="19" t="n">
        <v>8.930673586</v>
      </c>
      <c r="H19" s="19" t="str">
        <f>ROUND(G19 * (1 + 32.78 / 100), 9)</f>
      </c>
      <c r="I19" s="19" t="str">
        <f>ROUND(F19 * h19, 9)</f>
      </c>
      <c r="J19" s="20" t="str">
        <f>i19 / 1181066.0424007571906268</f>
      </c>
    </row>
    <row customHeight="1" ht="26" r="20">
      <c r="A20" s="16" t="inlineStr">
        <is>
          <t> 2.1.9 </t>
        </is>
      </c>
      <c r="B20" s="18" t="inlineStr">
        <is>
          <t> 98524 </t>
        </is>
      </c>
      <c r="C20" s="16" t="inlineStr">
        <is>
          <t>SINAPI</t>
        </is>
      </c>
      <c r="D20" s="16" t="inlineStr">
        <is>
          <t>LIMPEZA MANUAL DE VEGETAÇÃO EM TERRENO COM ENXADA.AF_05/2018</t>
        </is>
      </c>
      <c r="E20" s="17" t="inlineStr">
        <is>
          <t>m²</t>
        </is>
      </c>
      <c r="F20" s="18" t="n">
        <v>36.25</v>
      </c>
      <c r="G20" s="19" t="n">
        <v>2.396901382</v>
      </c>
      <c r="H20" s="19" t="str">
        <f>ROUND(G20 * (1 + 32.78 / 100), 9)</f>
      </c>
      <c r="I20" s="19" t="str">
        <f>ROUND(F20 * h20, 9)</f>
      </c>
      <c r="J20" s="20" t="str">
        <f>i20 / 1181066.0424007571906268</f>
      </c>
    </row>
    <row customHeight="1" ht="39" r="21">
      <c r="A21" s="16" t="inlineStr">
        <is>
          <t> 2.1.10 </t>
        </is>
      </c>
      <c r="B21" s="18" t="inlineStr">
        <is>
          <t> 100330 </t>
        </is>
      </c>
      <c r="C21" s="16" t="inlineStr">
        <is>
          <t>SINAPI</t>
        </is>
      </c>
      <c r="D21" s="16" t="inlineStr">
        <is>
          <t>RETIRADA E RECOLOCAÇÃO DE  TELHA CERÂMICA CAPA-CANAL, COM ATÉ DUAS ÁGUAS, INCLUSO IÇAMENTO. AF_07/2019 (TELHADO GARAGEM)</t>
        </is>
      </c>
      <c r="E21" s="17" t="inlineStr">
        <is>
          <t>m²</t>
        </is>
      </c>
      <c r="F21" s="18" t="n">
        <v>26.57</v>
      </c>
      <c r="G21" s="19" t="n">
        <v>18.490990772</v>
      </c>
      <c r="H21" s="19" t="str">
        <f>ROUND(G21 * (1 + 32.78 / 100), 9)</f>
      </c>
      <c r="I21" s="19" t="str">
        <f>ROUND(F21 * h21, 9)</f>
      </c>
      <c r="J21" s="20" t="str">
        <f>i21 / 1181066.0424007571906268</f>
      </c>
    </row>
    <row customHeight="1" ht="26" r="22">
      <c r="A22" s="16" t="inlineStr">
        <is>
          <t> 2.1.11 </t>
        </is>
      </c>
      <c r="B22" s="18" t="inlineStr">
        <is>
          <t> 97650 </t>
        </is>
      </c>
      <c r="C22" s="16" t="inlineStr">
        <is>
          <t>SINAPI</t>
        </is>
      </c>
      <c r="D22" s="16" t="inlineStr">
        <is>
          <t>REMOÇÃO DE TRAMA DE MADEIRA PARA COBERTURA, DE FORMA MANUAL, SEM REAPROVEITAMENTO. AF_12/2017 (TELHADO GARAGEM)</t>
        </is>
      </c>
      <c r="E22" s="17" t="inlineStr">
        <is>
          <t>m²</t>
        </is>
      </c>
      <c r="F22" s="18" t="n">
        <v>26.57</v>
      </c>
      <c r="G22" s="19" t="n">
        <v>5.950203678</v>
      </c>
      <c r="H22" s="19" t="str">
        <f>ROUND(G22 * (1 + 32.78 / 100), 9)</f>
      </c>
      <c r="I22" s="19" t="str">
        <f>ROUND(F22 * h22, 9)</f>
      </c>
      <c r="J22" s="20" t="str">
        <f>i22 / 1181066.0424007571906268</f>
      </c>
    </row>
    <row customHeight="1" ht="24" r="23">
      <c r="A23" s="8" t="inlineStr">
        <is>
          <t> 2.2 </t>
        </is>
      </c>
      <c r="B23" s="8"/>
      <c r="C23" s="8"/>
      <c r="D23" s="8" t="inlineStr">
        <is>
          <t>FUNDAÇÃO / ESTRUTURA</t>
        </is>
      </c>
      <c r="E23" s="8"/>
      <c r="F23" s="10"/>
      <c r="G23" s="8"/>
      <c r="H23" s="8"/>
      <c r="I23" s="11" t="n">
        <v>17298.66157043001</v>
      </c>
      <c r="J23" s="12" t="str">
        <f>i23 / 1181066.0424007571906268</f>
      </c>
    </row>
    <row customHeight="1" ht="26" r="24">
      <c r="A24" s="16" t="inlineStr">
        <is>
          <t> 2.2.1 </t>
        </is>
      </c>
      <c r="B24" s="18" t="inlineStr">
        <is>
          <t> 96522 </t>
        </is>
      </c>
      <c r="C24" s="16" t="inlineStr">
        <is>
          <t>SINAPI</t>
        </is>
      </c>
      <c r="D24" s="16" t="inlineStr">
        <is>
          <t>ESCAVAÇÃO MANUAL PARA BLOCO DE COROAMENTO OU SAPATA, SEM PREVISÃO DE FÔRMA. AF_06/2017</t>
        </is>
      </c>
      <c r="E24" s="17" t="inlineStr">
        <is>
          <t>m³</t>
        </is>
      </c>
      <c r="F24" s="18" t="n">
        <v>1.46</v>
      </c>
      <c r="G24" s="19" t="n">
        <v>109.519572726</v>
      </c>
      <c r="H24" s="19" t="str">
        <f>ROUND(G24 * (1 + 32.78 / 100), 9)</f>
      </c>
      <c r="I24" s="19" t="str">
        <f>ROUND(F24 * h24, 9)</f>
      </c>
      <c r="J24" s="20" t="str">
        <f>i24 / 1181066.0424007571906268</f>
      </c>
    </row>
    <row customHeight="1" ht="26" r="25">
      <c r="A25" s="16" t="inlineStr">
        <is>
          <t> 2.2.2 </t>
        </is>
      </c>
      <c r="B25" s="18" t="inlineStr">
        <is>
          <t> 96544 </t>
        </is>
      </c>
      <c r="C25" s="16" t="inlineStr">
        <is>
          <t>SINAPI</t>
        </is>
      </c>
      <c r="D25" s="16" t="inlineStr">
        <is>
          <t>ARMAÇÃO DE BLOCO, VIGA BALDRAME OU SAPATA UTILIZANDO AÇO CA-50 DE 6,3 MM - MONTAGEM. AF_06/2017</t>
        </is>
      </c>
      <c r="E25" s="17" t="inlineStr">
        <is>
          <t>KG</t>
        </is>
      </c>
      <c r="F25" s="18" t="n">
        <v>2.0</v>
      </c>
      <c r="G25" s="19" t="n">
        <v>16.816605084</v>
      </c>
      <c r="H25" s="19" t="str">
        <f>ROUND(G25 * (1 + 32.78 / 100), 9)</f>
      </c>
      <c r="I25" s="19" t="str">
        <f>ROUND(F25 * h25, 9)</f>
      </c>
      <c r="J25" s="20" t="str">
        <f>i25 / 1181066.0424007571906268</f>
      </c>
    </row>
    <row customHeight="1" ht="26" r="26">
      <c r="A26" s="16" t="inlineStr">
        <is>
          <t> 2.2.3 </t>
        </is>
      </c>
      <c r="B26" s="18" t="inlineStr">
        <is>
          <t> 96546 </t>
        </is>
      </c>
      <c r="C26" s="16" t="inlineStr">
        <is>
          <t>SINAPI</t>
        </is>
      </c>
      <c r="D26" s="16" t="inlineStr">
        <is>
          <t>ARMAÇÃO DE BLOCO, VIGA BALDRAME OU SAPATA UTILIZANDO AÇO CA-50 DE 10 MM - MONTAGEM. AF_06/2017</t>
        </is>
      </c>
      <c r="E26" s="17" t="inlineStr">
        <is>
          <t>KG</t>
        </is>
      </c>
      <c r="F26" s="18" t="n">
        <v>24.0</v>
      </c>
      <c r="G26" s="19" t="n">
        <v>13.765056809</v>
      </c>
      <c r="H26" s="19" t="str">
        <f>ROUND(G26 * (1 + 32.78 / 100), 9)</f>
      </c>
      <c r="I26" s="19" t="str">
        <f>ROUND(F26 * h26, 9)</f>
      </c>
      <c r="J26" s="20" t="str">
        <f>i26 / 1181066.0424007571906268</f>
      </c>
    </row>
    <row customHeight="1" ht="26" r="27">
      <c r="A27" s="16" t="inlineStr">
        <is>
          <t> 2.2.4 </t>
        </is>
      </c>
      <c r="B27" s="18" t="inlineStr">
        <is>
          <t> 96547 </t>
        </is>
      </c>
      <c r="C27" s="16" t="inlineStr">
        <is>
          <t>SINAPI</t>
        </is>
      </c>
      <c r="D27" s="16" t="inlineStr">
        <is>
          <t>ARMAÇÃO DE BLOCO, VIGA BALDRAME OU SAPATA UTILIZANDO AÇO CA-50 DE 12,5 MM - MONTAGEM. AF_06/2017</t>
        </is>
      </c>
      <c r="E27" s="17" t="inlineStr">
        <is>
          <t>KG</t>
        </is>
      </c>
      <c r="F27" s="18" t="n">
        <v>42.4</v>
      </c>
      <c r="G27" s="19" t="n">
        <v>10.981472072</v>
      </c>
      <c r="H27" s="19" t="str">
        <f>ROUND(G27 * (1 + 32.78 / 100), 9)</f>
      </c>
      <c r="I27" s="19" t="str">
        <f>ROUND(F27 * h27, 9)</f>
      </c>
      <c r="J27" s="20" t="str">
        <f>i27 / 1181066.0424007571906268</f>
      </c>
    </row>
    <row customHeight="1" ht="39" r="28">
      <c r="A28" s="16" t="inlineStr">
        <is>
          <t> 2.2.5 </t>
        </is>
      </c>
      <c r="B28" s="18" t="inlineStr">
        <is>
          <t> 96555 </t>
        </is>
      </c>
      <c r="C28" s="16" t="inlineStr">
        <is>
          <t>SINAPI</t>
        </is>
      </c>
      <c r="D28" s="16" t="inlineStr">
        <is>
          <t>CONCRETAGEM DE BLOCOS DE COROAMENTO E VIGAS BALDRAME, FCK 30 MPA, COM USO DE JERICA  LANÇAMENTO, ADENSAMENTO E ACABAMENTO. AF_06/2017</t>
        </is>
      </c>
      <c r="E28" s="17" t="inlineStr">
        <is>
          <t>m³</t>
        </is>
      </c>
      <c r="F28" s="18" t="n">
        <v>1.62</v>
      </c>
      <c r="G28" s="19" t="n">
        <v>952.923889487</v>
      </c>
      <c r="H28" s="19" t="str">
        <f>ROUND(G28 * (1 + 32.78 / 100), 9)</f>
      </c>
      <c r="I28" s="19" t="str">
        <f>ROUND(F28 * h28, 9)</f>
      </c>
      <c r="J28" s="20" t="str">
        <f>i28 / 1181066.0424007571906268</f>
      </c>
    </row>
    <row customHeight="1" ht="39" r="29">
      <c r="A29" s="16" t="inlineStr">
        <is>
          <t> 2.2.6 </t>
        </is>
      </c>
      <c r="B29" s="18" t="inlineStr">
        <is>
          <t> 92263 </t>
        </is>
      </c>
      <c r="C29" s="16" t="inlineStr">
        <is>
          <t>SINAPI</t>
        </is>
      </c>
      <c r="D29" s="16" t="inlineStr">
        <is>
          <t>FABRICAÇÃO DE FÔRMA PARA PILARES E ESTRUTURAS SIMILARES, EM CHAPA DE MADEIRA COMPENSADA RESINADA, E = 17 MM. AF_09/2020</t>
        </is>
      </c>
      <c r="E29" s="17" t="inlineStr">
        <is>
          <t>m²</t>
        </is>
      </c>
      <c r="F29" s="18" t="n">
        <v>29.3</v>
      </c>
      <c r="G29" s="19" t="n">
        <v>186.725758019</v>
      </c>
      <c r="H29" s="19" t="str">
        <f>ROUND(G29 * (1 + 32.78 / 100), 9)</f>
      </c>
      <c r="I29" s="19" t="str">
        <f>ROUND(F29 * h29, 9)</f>
      </c>
      <c r="J29" s="20" t="str">
        <f>i29 / 1181066.0424007571906268</f>
      </c>
    </row>
    <row customHeight="1" ht="52" r="30">
      <c r="A30" s="16" t="inlineStr">
        <is>
          <t> 2.2.7 </t>
        </is>
      </c>
      <c r="B30" s="18" t="inlineStr">
        <is>
          <t> 92775 </t>
        </is>
      </c>
      <c r="C30" s="16" t="inlineStr">
        <is>
          <t>SINAPI</t>
        </is>
      </c>
      <c r="D30" s="16" t="inlineStr">
        <is>
          <t>ARMAÇÃO DE PILAR OU VIGA DE UMA ESTRUTURA CONVENCIONAL DE CONCRETO ARMADO EM UMA EDIFICAÇÃO TÉRREA OU SOBRADO UTILIZANDO AÇO CA-60 DE 5,0 MM - MONTAGEM. AF_12/2015</t>
        </is>
      </c>
      <c r="E30" s="17" t="inlineStr">
        <is>
          <t>KG</t>
        </is>
      </c>
      <c r="F30" s="18" t="n">
        <v>19.0</v>
      </c>
      <c r="G30" s="19" t="n">
        <v>16.888945523</v>
      </c>
      <c r="H30" s="19" t="str">
        <f>ROUND(G30 * (1 + 32.78 / 100), 9)</f>
      </c>
      <c r="I30" s="19" t="str">
        <f>ROUND(F30 * h30, 9)</f>
      </c>
      <c r="J30" s="20" t="str">
        <f>i30 / 1181066.0424007571906268</f>
      </c>
    </row>
    <row customHeight="1" ht="52" r="31">
      <c r="A31" s="16" t="inlineStr">
        <is>
          <t> 2.2.8 </t>
        </is>
      </c>
      <c r="B31" s="18" t="inlineStr">
        <is>
          <t> 92776 </t>
        </is>
      </c>
      <c r="C31" s="16" t="inlineStr">
        <is>
          <t>SINAPI</t>
        </is>
      </c>
      <c r="D31" s="16" t="inlineStr">
        <is>
          <t>ARMAÇÃO DE PILAR OU VIGA DE UMA ESTRUTURA CONVENCIONAL DE CONCRETO ARMADO EM UMA EDIFICAÇÃO TÉRREA OU SOBRADO UTILIZANDO AÇO CA-50 DE 6,3 MM - MONTAGEM. AF_12/2015</t>
        </is>
      </c>
      <c r="E31" s="17" t="inlineStr">
        <is>
          <t>KG</t>
        </is>
      </c>
      <c r="F31" s="18" t="n">
        <v>25.0</v>
      </c>
      <c r="G31" s="19" t="n">
        <v>15.710132617</v>
      </c>
      <c r="H31" s="19" t="str">
        <f>ROUND(G31 * (1 + 32.78 / 100), 9)</f>
      </c>
      <c r="I31" s="19" t="str">
        <f>ROUND(F31 * h31, 9)</f>
      </c>
      <c r="J31" s="20" t="str">
        <f>i31 / 1181066.0424007571906268</f>
      </c>
    </row>
    <row customHeight="1" ht="52" r="32">
      <c r="A32" s="16" t="inlineStr">
        <is>
          <t> 2.2.9 </t>
        </is>
      </c>
      <c r="B32" s="18" t="inlineStr">
        <is>
          <t> 92777 </t>
        </is>
      </c>
      <c r="C32" s="16" t="inlineStr">
        <is>
          <t>SINAPI</t>
        </is>
      </c>
      <c r="D32" s="16" t="inlineStr">
        <is>
          <t>ARMAÇÃO DE PILAR OU VIGA DE UMA ESTRUTURA CONVENCIONAL DE CONCRETO ARMADO EM UMA EDIFICAÇÃO TÉRREA OU SOBRADO UTILIZANDO AÇO CA-50 DE 8,0 MM - MONTAGEM. AF_12/2015</t>
        </is>
      </c>
      <c r="E32" s="17" t="inlineStr">
        <is>
          <t>KG</t>
        </is>
      </c>
      <c r="F32" s="18" t="n">
        <v>13.0</v>
      </c>
      <c r="G32" s="19" t="n">
        <v>14.554656619</v>
      </c>
      <c r="H32" s="19" t="str">
        <f>ROUND(G32 * (1 + 32.78 / 100), 9)</f>
      </c>
      <c r="I32" s="19" t="str">
        <f>ROUND(F32 * h32, 9)</f>
      </c>
      <c r="J32" s="20" t="str">
        <f>i32 / 1181066.0424007571906268</f>
      </c>
    </row>
    <row customHeight="1" ht="52" r="33">
      <c r="A33" s="16" t="inlineStr">
        <is>
          <t> 2.2.10 </t>
        </is>
      </c>
      <c r="B33" s="18" t="inlineStr">
        <is>
          <t> 92778 </t>
        </is>
      </c>
      <c r="C33" s="16" t="inlineStr">
        <is>
          <t>SINAPI</t>
        </is>
      </c>
      <c r="D33" s="16" t="inlineStr">
        <is>
          <t>ARMAÇÃO DE PILAR OU VIGA DE UMA ESTRUTURA CONVENCIONAL DE CONCRETO ARMADO EM UMA EDIFICAÇÃO TÉRREA OU SOBRADO UTILIZANDO AÇO CA-50 DE 10,0 MM - MONTAGEM. AF_12/2015</t>
        </is>
      </c>
      <c r="E33" s="17" t="inlineStr">
        <is>
          <t>KG</t>
        </is>
      </c>
      <c r="F33" s="18" t="n">
        <v>6.0</v>
      </c>
      <c r="G33" s="19" t="n">
        <v>12.914093589</v>
      </c>
      <c r="H33" s="19" t="str">
        <f>ROUND(G33 * (1 + 32.78 / 100), 9)</f>
      </c>
      <c r="I33" s="19" t="str">
        <f>ROUND(F33 * h33, 9)</f>
      </c>
      <c r="J33" s="20" t="str">
        <f>i33 / 1181066.0424007571906268</f>
      </c>
    </row>
    <row customHeight="1" ht="52" r="34">
      <c r="A34" s="16" t="inlineStr">
        <is>
          <t> 2.2.11 </t>
        </is>
      </c>
      <c r="B34" s="18" t="inlineStr">
        <is>
          <t> 92779 </t>
        </is>
      </c>
      <c r="C34" s="16" t="inlineStr">
        <is>
          <t>SINAPI</t>
        </is>
      </c>
      <c r="D34" s="16" t="inlineStr">
        <is>
          <t>ARMAÇÃO DE PILAR OU VIGA DE UMA ESTRUTURA CONVENCIONAL DE CONCRETO ARMADO EM UMA EDIFICAÇÃO TÉRREA OU SOBRADO UTILIZANDO AÇO CA-50 DE 12,5 MM - MONTAGEM. AF_12/2015</t>
        </is>
      </c>
      <c r="E34" s="17" t="inlineStr">
        <is>
          <t>KG</t>
        </is>
      </c>
      <c r="F34" s="18" t="n">
        <v>69.0</v>
      </c>
      <c r="G34" s="19" t="n">
        <v>10.840668906</v>
      </c>
      <c r="H34" s="19" t="str">
        <f>ROUND(G34 * (1 + 32.78 / 100), 9)</f>
      </c>
      <c r="I34" s="19" t="str">
        <f>ROUND(F34 * h34, 9)</f>
      </c>
      <c r="J34" s="20" t="str">
        <f>i34 / 1181066.0424007571906268</f>
      </c>
    </row>
    <row customHeight="1" ht="39" r="35">
      <c r="A35" s="16" t="inlineStr">
        <is>
          <t> 2.2.12 </t>
        </is>
      </c>
      <c r="B35" s="18" t="inlineStr">
        <is>
          <t> 94964 </t>
        </is>
      </c>
      <c r="C35" s="16" t="inlineStr">
        <is>
          <t>SINAPI</t>
        </is>
      </c>
      <c r="D35" s="16" t="inlineStr">
        <is>
          <t>CONCRETO FCK = 20MPA, TRAÇO 1:2,7:3 (CIMENTO/ AREIA MÉDIA/ BRITA 1)  - PREPARO MECÂNICO COM BETONEIRA 400 L. AF_07/2016</t>
        </is>
      </c>
      <c r="E35" s="17" t="inlineStr">
        <is>
          <t>m³</t>
        </is>
      </c>
      <c r="F35" s="18" t="n">
        <v>1.59</v>
      </c>
      <c r="G35" s="19" t="n">
        <v>677.980584133</v>
      </c>
      <c r="H35" s="19" t="str">
        <f>ROUND(G35 * (1 + 32.78 / 100), 9)</f>
      </c>
      <c r="I35" s="19" t="str">
        <f>ROUND(F35 * h35, 9)</f>
      </c>
      <c r="J35" s="20" t="str">
        <f>i35 / 1181066.0424007571906268</f>
      </c>
    </row>
    <row customHeight="1" ht="26" r="36">
      <c r="A36" s="16" t="inlineStr">
        <is>
          <t> 2.2.13 </t>
        </is>
      </c>
      <c r="B36" s="18" t="inlineStr">
        <is>
          <t> 4247 </t>
        </is>
      </c>
      <c r="C36" s="16" t="inlineStr">
        <is>
          <t>ORSE</t>
        </is>
      </c>
      <c r="D36" s="16" t="inlineStr">
        <is>
          <t>PEÇA DE EUCALIPTO TRATADO, D= 19 A 22CM, L = 3,00M - FORNECIMENTO</t>
        </is>
      </c>
      <c r="E36" s="17" t="inlineStr">
        <is>
          <t>un</t>
        </is>
      </c>
      <c r="F36" s="18" t="n">
        <v>6.0</v>
      </c>
      <c r="G36" s="19" t="n">
        <v>369.57</v>
      </c>
      <c r="H36" s="19" t="str">
        <f>ROUND(G36 * (1 + 32.78 / 100), 9)</f>
      </c>
      <c r="I36" s="19" t="str">
        <f>ROUND(F36 * h36, 9)</f>
      </c>
      <c r="J36" s="20" t="str">
        <f>i36 / 1181066.0424007571906268</f>
      </c>
    </row>
    <row customHeight="1" ht="24" r="37">
      <c r="A37" s="8" t="inlineStr">
        <is>
          <t> 2.3 </t>
        </is>
      </c>
      <c r="B37" s="8"/>
      <c r="C37" s="8"/>
      <c r="D37" s="8" t="inlineStr">
        <is>
          <t>ALVENARIA E DIVISÓRIAS</t>
        </is>
      </c>
      <c r="E37" s="8"/>
      <c r="F37" s="10"/>
      <c r="G37" s="8"/>
      <c r="H37" s="8"/>
      <c r="I37" s="11" t="n">
        <v>5561.606284624472</v>
      </c>
      <c r="J37" s="12" t="str">
        <f>i37 / 1181066.0424007571906268</f>
      </c>
    </row>
    <row customHeight="1" ht="65" r="38">
      <c r="A38" s="16" t="inlineStr">
        <is>
          <t> 2.3.1 </t>
        </is>
      </c>
      <c r="B38" s="18" t="inlineStr">
        <is>
          <t> 87514 </t>
        </is>
      </c>
      <c r="C38" s="16" t="inlineStr">
        <is>
          <t>SINAPI</t>
        </is>
      </c>
      <c r="D38" s="16" t="inlineStr">
        <is>
          <t>ALVENARIA DE VEDAÇÃO DE BLOCOS CERÂMICOS FURADOS NA HORIZONTAL DE 11,5X19X19CM (ESPESSURA 11,5CM) DE PAREDES COM ÁREA LÍQUIDA MENOR QUE 6M² COM VÃOS E ARGAMASSA DE ASSENTAMENTO COM PREPARO MANUAL. AF_06/2014</t>
        </is>
      </c>
      <c r="E38" s="17" t="inlineStr">
        <is>
          <t>m²</t>
        </is>
      </c>
      <c r="F38" s="18" t="n">
        <v>42.6</v>
      </c>
      <c r="G38" s="19" t="n">
        <v>98.323646737</v>
      </c>
      <c r="H38" s="19" t="str">
        <f>ROUND(G38 * (1 + 32.78 / 100), 9)</f>
      </c>
      <c r="I38" s="19" t="str">
        <f>ROUND(F38 * h38, 9)</f>
      </c>
      <c r="J38" s="20" t="str">
        <f>i38 / 1181066.0424007571906268</f>
      </c>
    </row>
    <row customHeight="1" ht="24" r="39">
      <c r="A39" s="8" t="inlineStr">
        <is>
          <t> 2.4 </t>
        </is>
      </c>
      <c r="B39" s="8"/>
      <c r="C39" s="8"/>
      <c r="D39" s="8" t="inlineStr">
        <is>
          <t>PAVIMENTAÇÃO</t>
        </is>
      </c>
      <c r="E39" s="8"/>
      <c r="F39" s="10"/>
      <c r="G39" s="8"/>
      <c r="H39" s="8"/>
      <c r="I39" s="11" t="n">
        <v>88636.62913106137</v>
      </c>
      <c r="J39" s="12" t="str">
        <f>i39 / 1181066.0424007571906268</f>
      </c>
    </row>
    <row customHeight="1" ht="39" r="40">
      <c r="A40" s="16" t="inlineStr">
        <is>
          <t> 2.4.1 </t>
        </is>
      </c>
      <c r="B40" s="18" t="inlineStr">
        <is>
          <t> 87622 </t>
        </is>
      </c>
      <c r="C40" s="16" t="inlineStr">
        <is>
          <t>SINAPI</t>
        </is>
      </c>
      <c r="D40" s="16" t="inlineStr">
        <is>
          <t>CONTRAPISO EM ARGAMASSA TRAÇO 1:4 (CIMENTO E AREIA), PREPARO MANUAL, APLICADO EM ÁREAS SECAS SOBRE LAJE, ADERIDO, ESPESSURA 2CM. AF_06/2014</t>
        </is>
      </c>
      <c r="E40" s="17" t="inlineStr">
        <is>
          <t>m²</t>
        </is>
      </c>
      <c r="F40" s="18" t="n">
        <v>169.68</v>
      </c>
      <c r="G40" s="19" t="n">
        <v>38.710536036</v>
      </c>
      <c r="H40" s="19" t="str">
        <f>ROUND(G40 * (1 + 32.78 / 100), 9)</f>
      </c>
      <c r="I40" s="19" t="str">
        <f>ROUND(F40 * h40, 9)</f>
      </c>
      <c r="J40" s="20" t="str">
        <f>i40 / 1181066.0424007571906268</f>
      </c>
    </row>
    <row customHeight="1" ht="39" r="41">
      <c r="A41" s="16" t="inlineStr">
        <is>
          <t> 2.4.2 </t>
        </is>
      </c>
      <c r="B41" s="18" t="inlineStr">
        <is>
          <t> 98560 </t>
        </is>
      </c>
      <c r="C41" s="16" t="inlineStr">
        <is>
          <t>SINAPI</t>
        </is>
      </c>
      <c r="D41" s="16" t="inlineStr">
        <is>
          <t>IMPERMEABILIZAÇÃO DE PISO COM ARGAMASSA DE CIMENTO E AREIA, COM ADITIVO IMPERMEABILIZANTE, E = 2CM. AF_06/2018</t>
        </is>
      </c>
      <c r="E41" s="17" t="inlineStr">
        <is>
          <t>m²</t>
        </is>
      </c>
      <c r="F41" s="18" t="n">
        <v>34.73</v>
      </c>
      <c r="G41" s="19" t="n">
        <v>48.683832556</v>
      </c>
      <c r="H41" s="19" t="str">
        <f>ROUND(G41 * (1 + 32.78 / 100), 9)</f>
      </c>
      <c r="I41" s="19" t="str">
        <f>ROUND(F41 * h41, 9)</f>
      </c>
      <c r="J41" s="20" t="str">
        <f>i41 / 1181066.0424007571906268</f>
      </c>
    </row>
    <row customHeight="1" ht="39" r="42">
      <c r="A42" s="16" t="inlineStr">
        <is>
          <t> 2.4.3 </t>
        </is>
      </c>
      <c r="B42" s="18" t="inlineStr">
        <is>
          <t> 87263 </t>
        </is>
      </c>
      <c r="C42" s="16" t="inlineStr">
        <is>
          <t>SINAPI</t>
        </is>
      </c>
      <c r="D42" s="16" t="inlineStr">
        <is>
          <t>PORCELANATO POLIDO BORDA RETA BIANCO PLUS 60X60CM, FABRICAÇÃO ELIANE OU SIMILAR, COM REJUNTAMENTO PARA PORCELANATOS E CERÂMICAS CINZA PLATINA, ESP. 2 MM, FABRICAÇÃO QUARTZOLIT OU SIMILAR (P1)</t>
        </is>
      </c>
      <c r="E42" s="17" t="inlineStr">
        <is>
          <t>m²</t>
        </is>
      </c>
      <c r="F42" s="18" t="n">
        <v>159.1</v>
      </c>
      <c r="G42" s="19" t="n">
        <v>194.396874667</v>
      </c>
      <c r="H42" s="19" t="str">
        <f>ROUND(G42 * (1 + 32.78 / 100), 9)</f>
      </c>
      <c r="I42" s="19" t="str">
        <f>ROUND(F42 * h42, 9)</f>
      </c>
      <c r="J42" s="20" t="str">
        <f>i42 / 1181066.0424007571906268</f>
      </c>
    </row>
    <row customHeight="1" ht="39" r="43">
      <c r="A43" s="16" t="inlineStr">
        <is>
          <t> 2.4.4 </t>
        </is>
      </c>
      <c r="B43" s="18" t="inlineStr">
        <is>
          <t> 87259 </t>
        </is>
      </c>
      <c r="C43" s="16" t="inlineStr">
        <is>
          <t>SINAPI</t>
        </is>
      </c>
      <c r="D43" s="16" t="inlineStr">
        <is>
          <t>PORCELANATO ACETINADO BORDA RETA BLEND PLUS CINZA 59X59CM, FABRICAÇÃO ELIANE OU SIMILAR, COM REJUNTAMENTO PARA PORCELANATOS E CERÂMICAS CINZA PLATINA, ESP. 2 MM, FABRICAÇÃO QUARTZOLIT OU SIMILAR. (P2)</t>
        </is>
      </c>
      <c r="E43" s="17" t="inlineStr">
        <is>
          <t>m²</t>
        </is>
      </c>
      <c r="F43" s="18" t="n">
        <v>57.45</v>
      </c>
      <c r="G43" s="19" t="n">
        <v>177.660494051</v>
      </c>
      <c r="H43" s="19" t="str">
        <f>ROUND(G43 * (1 + 32.78 / 100), 9)</f>
      </c>
      <c r="I43" s="19" t="str">
        <f>ROUND(F43 * h43, 9)</f>
      </c>
      <c r="J43" s="20" t="str">
        <f>i43 / 1181066.0424007571906268</f>
      </c>
    </row>
    <row customHeight="1" ht="39" r="44">
      <c r="A44" s="16" t="inlineStr">
        <is>
          <t> 2.4.5 </t>
        </is>
      </c>
      <c r="B44" s="18" t="inlineStr">
        <is>
          <t> 87260 </t>
        </is>
      </c>
      <c r="C44" s="16" t="inlineStr">
        <is>
          <t>SINAPI</t>
        </is>
      </c>
      <c r="D44" s="16" t="inlineStr">
        <is>
          <t>PORCELANATO EXTERNO PEDRA NATURAL BORDA ARREDONDADA SANTOME BRANCO 59,5X59,5CM, FABRICAÇÃO CECRISA OU SIMILAR, COM REJUNTAMENTO PARA PORCELANATOS E CERÂMICAS CINZA PLATINA, ESP. 2 MM, FABRICAÇÃO QUARTZOLIT OU SIMILAR. (P4)</t>
        </is>
      </c>
      <c r="E44" s="17" t="inlineStr">
        <is>
          <t>m²</t>
        </is>
      </c>
      <c r="F44" s="18" t="n">
        <v>29.47</v>
      </c>
      <c r="G44" s="19" t="n">
        <v>169.278213497</v>
      </c>
      <c r="H44" s="19" t="str">
        <f>ROUND(G44 * (1 + 32.78 / 100), 9)</f>
      </c>
      <c r="I44" s="19" t="str">
        <f>ROUND(F44 * h44, 9)</f>
      </c>
      <c r="J44" s="20" t="str">
        <f>i44 / 1181066.0424007571906268</f>
      </c>
    </row>
    <row customHeight="1" ht="39" r="45">
      <c r="A45" s="16" t="inlineStr">
        <is>
          <t> 2.4.6 </t>
        </is>
      </c>
      <c r="B45" s="18" t="inlineStr">
        <is>
          <t> 98680 </t>
        </is>
      </c>
      <c r="C45" s="16" t="inlineStr">
        <is>
          <t>SINAPI</t>
        </is>
      </c>
      <c r="D45" s="16" t="inlineStr">
        <is>
          <t>PISO CIMENTADO COM ACABAMENTO ÁSPERO, NO TRAÇO 1:3 DE CIMENTO E AREIA, ESPESSURA MÍNIMA DE 1,5CM RESPEITANDO OS CAIMENTOS NECESSÁRIOS PARA O ESCOAMENTO D</t>
        </is>
      </c>
      <c r="E45" s="17" t="inlineStr">
        <is>
          <t>m²</t>
        </is>
      </c>
      <c r="F45" s="18" t="n">
        <v>86.2</v>
      </c>
      <c r="G45" s="19" t="n">
        <v>51.56269598</v>
      </c>
      <c r="H45" s="19" t="str">
        <f>ROUND(G45 * (1 + 32.78 / 100), 9)</f>
      </c>
      <c r="I45" s="19" t="str">
        <f>ROUND(F45 * h45, 9)</f>
      </c>
      <c r="J45" s="20" t="str">
        <f>i45 / 1181066.0424007571906268</f>
      </c>
    </row>
    <row customHeight="1" ht="52" r="46">
      <c r="A46" s="16" t="inlineStr">
        <is>
          <t> 2.4.7 </t>
        </is>
      </c>
      <c r="B46" s="18" t="inlineStr">
        <is>
          <t> 94992 </t>
        </is>
      </c>
      <c r="C46" s="16" t="inlineStr">
        <is>
          <t>SINAPI</t>
        </is>
      </c>
      <c r="D46" s="16" t="inlineStr">
        <is>
          <t>EXECUÇÃO DE PASSEIO (RECUPERAÇÃO DE CALÇADA) OU PISO DE CONCRETO COM CONCRETO MOLDADO IN LOCO, FEITO EM OBRA, ACABAMENTO CONVENCIONAL, ESPESSURA 6 CM, ARMADO. AF_07/2016</t>
        </is>
      </c>
      <c r="E46" s="17" t="inlineStr">
        <is>
          <t>m²</t>
        </is>
      </c>
      <c r="F46" s="18" t="n">
        <v>70.0</v>
      </c>
      <c r="G46" s="19" t="n">
        <v>86.379718665</v>
      </c>
      <c r="H46" s="19" t="str">
        <f>ROUND(G46 * (1 + 32.78 / 100), 9)</f>
      </c>
      <c r="I46" s="19" t="str">
        <f>ROUND(F46 * h46, 9)</f>
      </c>
      <c r="J46" s="20" t="str">
        <f>i46 / 1181066.0424007571906268</f>
      </c>
    </row>
    <row customHeight="1" ht="26" r="47">
      <c r="A47" s="16" t="inlineStr">
        <is>
          <t> 2.4.8 </t>
        </is>
      </c>
      <c r="B47" s="18" t="inlineStr">
        <is>
          <t> 101094 </t>
        </is>
      </c>
      <c r="C47" s="16" t="inlineStr">
        <is>
          <t>SINAPI</t>
        </is>
      </c>
      <c r="D47" s="16" t="inlineStr">
        <is>
          <t>PISO PODOTÁTIL, DIRECIONAL OU ALERTA, ASSENTADO SOBRE ARGAMASSA. AF_05/2020</t>
        </is>
      </c>
      <c r="E47" s="17" t="inlineStr">
        <is>
          <t>M</t>
        </is>
      </c>
      <c r="F47" s="18" t="n">
        <v>10.0</v>
      </c>
      <c r="G47" s="19" t="n">
        <v>188.02579822</v>
      </c>
      <c r="H47" s="19" t="str">
        <f>ROUND(G47 * (1 + 32.78 / 100), 9)</f>
      </c>
      <c r="I47" s="19" t="str">
        <f>ROUND(F47 * h47, 9)</f>
      </c>
      <c r="J47" s="20" t="str">
        <f>i47 / 1181066.0424007571906268</f>
      </c>
    </row>
    <row customHeight="1" ht="24" r="48">
      <c r="A48" s="8" t="inlineStr">
        <is>
          <t> 2.5 </t>
        </is>
      </c>
      <c r="B48" s="8"/>
      <c r="C48" s="8"/>
      <c r="D48" s="8" t="inlineStr">
        <is>
          <t>SOLEIRAS, PEITORIS E RODAPÉS</t>
        </is>
      </c>
      <c r="E48" s="8"/>
      <c r="F48" s="10"/>
      <c r="G48" s="8"/>
      <c r="H48" s="8"/>
      <c r="I48" s="11" t="n">
        <v>6841.624780200755</v>
      </c>
      <c r="J48" s="12" t="str">
        <f>i48 / 1181066.0424007571906268</f>
      </c>
    </row>
    <row customHeight="1" ht="26" r="49">
      <c r="A49" s="16" t="inlineStr">
        <is>
          <t> 2.5.1 </t>
        </is>
      </c>
      <c r="B49" s="18" t="inlineStr">
        <is>
          <t> 98689 </t>
        </is>
      </c>
      <c r="C49" s="16" t="inlineStr">
        <is>
          <t>SINAPI</t>
        </is>
      </c>
      <c r="D49" s="16" t="inlineStr">
        <is>
          <t>SOLEIRA EM GRANITO, LARGURA 15 CM, ESPESSURA 2,0 CM. AF_09/2020</t>
        </is>
      </c>
      <c r="E49" s="17" t="inlineStr">
        <is>
          <t>M</t>
        </is>
      </c>
      <c r="F49" s="18" t="n">
        <v>8.85</v>
      </c>
      <c r="G49" s="19" t="n">
        <v>143.670268735</v>
      </c>
      <c r="H49" s="19" t="str">
        <f>ROUND(G49 * (1 + 32.78 / 100), 9)</f>
      </c>
      <c r="I49" s="19" t="str">
        <f>ROUND(F49 * h49, 9)</f>
      </c>
      <c r="J49" s="20" t="str">
        <f>i49 / 1181066.0424007571906268</f>
      </c>
    </row>
    <row customHeight="1" ht="39" r="50">
      <c r="A50" s="16" t="inlineStr">
        <is>
          <t> 2.5.2 </t>
        </is>
      </c>
      <c r="B50" s="18" t="inlineStr">
        <is>
          <t> 84088 </t>
        </is>
      </c>
      <c r="C50" s="16" t="inlineStr">
        <is>
          <t>SINAPI</t>
        </is>
      </c>
      <c r="D50" s="16" t="inlineStr">
        <is>
          <t>PEITORIL EM GRANITO, LARGURA DE 15CM, ASSENTADO COM ARGAMASSA TRACO 1:4 (CIMENTO E AREIA MEDIA), PREPARO MANUAL DA ARGAMASSA</t>
        </is>
      </c>
      <c r="E50" s="17" t="inlineStr">
        <is>
          <t>M</t>
        </is>
      </c>
      <c r="F50" s="18" t="n">
        <v>11.6</v>
      </c>
      <c r="G50" s="19" t="n">
        <v>157.379006572</v>
      </c>
      <c r="H50" s="19" t="str">
        <f>ROUND(G50 * (1 + 32.78 / 100), 9)</f>
      </c>
      <c r="I50" s="19" t="str">
        <f>ROUND(F50 * h50, 9)</f>
      </c>
      <c r="J50" s="20" t="str">
        <f>i50 / 1181066.0424007571906268</f>
      </c>
    </row>
    <row customHeight="1" ht="26" r="51">
      <c r="A51" s="16" t="inlineStr">
        <is>
          <t> 2.5.3 </t>
        </is>
      </c>
      <c r="B51" s="18" t="inlineStr">
        <is>
          <t> 88650 </t>
        </is>
      </c>
      <c r="C51" s="16" t="inlineStr">
        <is>
          <t>SINAPI</t>
        </is>
      </c>
      <c r="D51" s="16" t="inlineStr">
        <is>
          <t>RODAPÉ CERÂMICO DE 8CM DE ALTURA COM PLACAS TIPO ESMALTADA EXTRA DE DIMENSÕES 60X60CM. AF_06/2014</t>
        </is>
      </c>
      <c r="E51" s="17" t="inlineStr">
        <is>
          <t>M</t>
        </is>
      </c>
      <c r="F51" s="18" t="n">
        <v>99.2</v>
      </c>
      <c r="G51" s="19" t="n">
        <v>20.721003311</v>
      </c>
      <c r="H51" s="19" t="str">
        <f>ROUND(G51 * (1 + 32.78 / 100), 9)</f>
      </c>
      <c r="I51" s="19" t="str">
        <f>ROUND(F51 * h51, 9)</f>
      </c>
      <c r="J51" s="20" t="str">
        <f>i51 / 1181066.0424007571906268</f>
      </c>
    </row>
    <row customHeight="1" ht="24" r="52">
      <c r="A52" s="8" t="inlineStr">
        <is>
          <t> 2.6 </t>
        </is>
      </c>
      <c r="B52" s="8"/>
      <c r="C52" s="8"/>
      <c r="D52" s="8" t="inlineStr">
        <is>
          <t>REVESTIMENTOS</t>
        </is>
      </c>
      <c r="E52" s="8"/>
      <c r="F52" s="10"/>
      <c r="G52" s="8"/>
      <c r="H52" s="8"/>
      <c r="I52" s="11" t="n">
        <v>28282.25493389119</v>
      </c>
      <c r="J52" s="12" t="str">
        <f>i52 / 1181066.0424007571906268</f>
      </c>
    </row>
    <row customHeight="1" ht="52" r="53">
      <c r="A53" s="16" t="inlineStr">
        <is>
          <t> 2.6.1 </t>
        </is>
      </c>
      <c r="B53" s="18" t="inlineStr">
        <is>
          <t> 87904 </t>
        </is>
      </c>
      <c r="C53" s="16" t="inlineStr">
        <is>
          <t>SINAPI</t>
        </is>
      </c>
      <c r="D53" s="16" t="inlineStr">
        <is>
          <t>CHAPISCO APLICADO EM ALVENARIA (COM PRESENÇA DE VÃOS) E ESTRUTURAS DE CONCRETO DE FACHADA, COM COLHER DE PEDREIRO.  ARGAMASSA TRAÇO 1:3 COM PREPARO MANUAL. AF_06/2014</t>
        </is>
      </c>
      <c r="E53" s="17" t="inlineStr">
        <is>
          <t>m²</t>
        </is>
      </c>
      <c r="F53" s="18" t="n">
        <v>85.2</v>
      </c>
      <c r="G53" s="19" t="n">
        <v>7.494822001</v>
      </c>
      <c r="H53" s="19" t="str">
        <f>ROUND(G53 * (1 + 32.78 / 100), 9)</f>
      </c>
      <c r="I53" s="19" t="str">
        <f>ROUND(F53 * h53, 9)</f>
      </c>
      <c r="J53" s="20" t="str">
        <f>i53 / 1181066.0424007571906268</f>
      </c>
    </row>
    <row customHeight="1" ht="65" r="54">
      <c r="A54" s="16" t="inlineStr">
        <is>
          <t> 2.6.2 </t>
        </is>
      </c>
      <c r="B54" s="18" t="inlineStr">
        <is>
          <t> 87536 </t>
        </is>
      </c>
      <c r="C54" s="16" t="inlineStr">
        <is>
          <t>SINAPI</t>
        </is>
      </c>
      <c r="D54" s="16" t="inlineStr">
        <is>
          <t>EMBOÇO, PARA RECEBIMENTO DE CERÂMICA, EM ARGAMASSA TRAÇO 1:2:8, PREPARO MANUAL, APLICADO MANUALMENTE EM FACES INTERNAS DE PAREDES, PARA AMBIENTE COM ÁREA  MAIOR QUE 10M2, ESPESSURA DE 20MM, COM EXECUÇÃO DE TALISCAS. AF_06/2014</t>
        </is>
      </c>
      <c r="E54" s="17" t="inlineStr">
        <is>
          <t>m²</t>
        </is>
      </c>
      <c r="F54" s="18" t="n">
        <v>137.34</v>
      </c>
      <c r="G54" s="19" t="n">
        <v>36.532420369</v>
      </c>
      <c r="H54" s="19" t="str">
        <f>ROUND(G54 * (1 + 32.78 / 100), 9)</f>
      </c>
      <c r="I54" s="19" t="str">
        <f>ROUND(F54 * h54, 9)</f>
      </c>
      <c r="J54" s="20" t="str">
        <f>i54 / 1181066.0424007571906268</f>
      </c>
    </row>
    <row customHeight="1" ht="65" r="55">
      <c r="A55" s="16" t="inlineStr">
        <is>
          <t> 2.6.3 </t>
        </is>
      </c>
      <c r="B55" s="18" t="inlineStr">
        <is>
          <t> 89048 </t>
        </is>
      </c>
      <c r="C55" s="16" t="inlineStr">
        <is>
          <t>SINAPI</t>
        </is>
      </c>
      <c r="D55" s="16" t="inlineStr">
        <is>
          <t>REBOCO PAULISTA COM PINTURA ACRÍLICA, ACABAMENTO ACETINADO NA COR PALHA (SUVINIL ACRÍLICO PREMIUM OU SIMILAR) SOBRE SELADOR E MASSA CORRIDA (R1)</t>
        </is>
      </c>
      <c r="E55" s="17" t="inlineStr">
        <is>
          <t>m²</t>
        </is>
      </c>
      <c r="F55" s="18" t="n">
        <v>85.2</v>
      </c>
      <c r="G55" s="19" t="n">
        <v>37.598176409</v>
      </c>
      <c r="H55" s="19" t="str">
        <f>ROUND(G55 * (1 + 32.78 / 100), 9)</f>
      </c>
      <c r="I55" s="19" t="str">
        <f>ROUND(F55 * h55, 9)</f>
      </c>
      <c r="J55" s="20" t="str">
        <f>i55 / 1181066.0424007571906268</f>
      </c>
    </row>
    <row customHeight="1" ht="52" r="56">
      <c r="A56" s="16" t="inlineStr">
        <is>
          <t> 2.6.4 </t>
        </is>
      </c>
      <c r="B56" s="18" t="inlineStr">
        <is>
          <t> 87274 </t>
        </is>
      </c>
      <c r="C56" s="16" t="inlineStr">
        <is>
          <t>SINAPI</t>
        </is>
      </c>
      <c r="D56" s="16" t="inlineStr">
        <is>
          <t>REVESTIMENTO BRILHANTE BORDA BOLD FORMA BRANCO 30X40CM, FABRICAÇÃO ELIANE OU SIMILAR, COM REJUNTAMENTO PARA PORCELANATOS E CERÂMICAS BRANCO, ESP. 2 MM, FABRICAÇÃO QUARTZOLIT OU SIMILAR. (R2)</t>
        </is>
      </c>
      <c r="E56" s="17" t="inlineStr">
        <is>
          <t>m²</t>
        </is>
      </c>
      <c r="F56" s="18" t="n">
        <v>137.34</v>
      </c>
      <c r="G56" s="19" t="n">
        <v>90.583955742</v>
      </c>
      <c r="H56" s="19" t="str">
        <f>ROUND(G56 * (1 + 32.78 / 100), 9)</f>
      </c>
      <c r="I56" s="19" t="str">
        <f>ROUND(F56 * h56, 9)</f>
      </c>
      <c r="J56" s="20" t="str">
        <f>i56 / 1181066.0424007571906268</f>
      </c>
    </row>
    <row customHeight="1" ht="24" r="57">
      <c r="A57" s="8" t="inlineStr">
        <is>
          <t> 2.7 </t>
        </is>
      </c>
      <c r="B57" s="8"/>
      <c r="C57" s="8"/>
      <c r="D57" s="8" t="inlineStr">
        <is>
          <t>ESQUADRIAS</t>
        </is>
      </c>
      <c r="E57" s="8"/>
      <c r="F57" s="10"/>
      <c r="G57" s="8"/>
      <c r="H57" s="8"/>
      <c r="I57" s="11" t="n">
        <v>37037.864639571264</v>
      </c>
      <c r="J57" s="12" t="str">
        <f>i57 / 1181066.0424007571906268</f>
      </c>
    </row>
    <row customHeight="1" ht="26" r="58">
      <c r="A58" s="16" t="inlineStr">
        <is>
          <t> 2.7.1 </t>
        </is>
      </c>
      <c r="B58" s="18" t="inlineStr">
        <is>
          <t> 102179 </t>
        </is>
      </c>
      <c r="C58" s="16" t="inlineStr">
        <is>
          <t>SINAPI</t>
        </is>
      </c>
      <c r="D58" s="16" t="inlineStr">
        <is>
          <t>ESQUADRIA EM VIDRO TEMPERADO INCOLOR, ESPESSURA 6MM, INCLUSIVE JOGO DE FERRAGENS CROMADAS. (EA1, EA2, EA3, EA4, EA5 e EA6)</t>
        </is>
      </c>
      <c r="E58" s="17" t="inlineStr">
        <is>
          <t>m²</t>
        </is>
      </c>
      <c r="F58" s="18" t="n">
        <v>10.92</v>
      </c>
      <c r="G58" s="19" t="n">
        <v>435.464260913</v>
      </c>
      <c r="H58" s="19" t="str">
        <f>ROUND(G58 * (1 + 32.78 / 100), 9)</f>
      </c>
      <c r="I58" s="19" t="str">
        <f>ROUND(F58 * h58, 9)</f>
      </c>
      <c r="J58" s="20" t="str">
        <f>i58 / 1181066.0424007571906268</f>
      </c>
    </row>
    <row customHeight="1" ht="39" r="59">
      <c r="A59" s="16" t="inlineStr">
        <is>
          <t> 2.7.2 </t>
        </is>
      </c>
      <c r="B59" s="18" t="inlineStr">
        <is>
          <t> 91341 </t>
        </is>
      </c>
      <c r="C59" s="16" t="inlineStr">
        <is>
          <t>SINAPI</t>
        </is>
      </c>
      <c r="D59" s="16" t="inlineStr">
        <is>
          <t>PORTA EM ALUMÍNIO DE ABRIR TIPO VENEZIANA COM GUARNIÇÃO, FIXAÇÃO COM PARAFUSOS - FORNECIMENTO E INSTALAÇÃO. AF_12/2019 (PA1)</t>
        </is>
      </c>
      <c r="E59" s="17" t="inlineStr">
        <is>
          <t>m²</t>
        </is>
      </c>
      <c r="F59" s="18" t="n">
        <v>1.47</v>
      </c>
      <c r="G59" s="19" t="n">
        <v>661.256584131</v>
      </c>
      <c r="H59" s="19" t="str">
        <f>ROUND(G59 * (1 + 32.78 / 100), 9)</f>
      </c>
      <c r="I59" s="19" t="str">
        <f>ROUND(F59 * h59, 9)</f>
      </c>
      <c r="J59" s="20" t="str">
        <f>i59 / 1181066.0424007571906268</f>
      </c>
    </row>
    <row customHeight="1" ht="39" r="60">
      <c r="A60" s="16" t="inlineStr">
        <is>
          <t> 2.7.3 </t>
        </is>
      </c>
      <c r="B60" s="18" t="inlineStr">
        <is>
          <t> 100702 </t>
        </is>
      </c>
      <c r="C60" s="16" t="inlineStr">
        <is>
          <t>SINAPI</t>
        </is>
      </c>
      <c r="D60" s="16" t="inlineStr">
        <is>
          <t>PORTA DE CORRER DE ALUMÍNIO, COM DUAS FOLHAS PARA VIDRO, INCLUSO VIDRO LISO INCOLOR, FECHADURA E PUXADOR, SEM ALIZAR. AF_12/2019 (PA2)</t>
        </is>
      </c>
      <c r="E60" s="17" t="inlineStr">
        <is>
          <t>m²</t>
        </is>
      </c>
      <c r="F60" s="18" t="n">
        <v>5.88</v>
      </c>
      <c r="G60" s="19" t="n">
        <v>456.717108408</v>
      </c>
      <c r="H60" s="19" t="str">
        <f>ROUND(G60 * (1 + 32.78 / 100), 9)</f>
      </c>
      <c r="I60" s="19" t="str">
        <f>ROUND(F60 * h60, 9)</f>
      </c>
      <c r="J60" s="20" t="str">
        <f>i60 / 1181066.0424007571906268</f>
      </c>
    </row>
    <row customHeight="1" ht="26" r="61">
      <c r="A61" s="16" t="inlineStr">
        <is>
          <t> 2.7.4 </t>
        </is>
      </c>
      <c r="B61" s="18" t="inlineStr">
        <is>
          <t> 99861 </t>
        </is>
      </c>
      <c r="C61" s="16" t="inlineStr">
        <is>
          <t>SINAPI</t>
        </is>
      </c>
      <c r="D61" s="16" t="inlineStr">
        <is>
          <t>GRADIL EM FERRO FIXADO EM VÃOS DE JANELAS, FORMADO POR BARRAS CHATAS DE 25X4,8 MM. AF_04/2019 (EF1, EF2, EF3, EF4, EF5, EF6 e EF7)</t>
        </is>
      </c>
      <c r="E61" s="17" t="inlineStr">
        <is>
          <t>m²</t>
        </is>
      </c>
      <c r="F61" s="18" t="n">
        <v>23.99</v>
      </c>
      <c r="G61" s="19" t="n">
        <v>536.423415618</v>
      </c>
      <c r="H61" s="19" t="str">
        <f>ROUND(G61 * (1 + 32.78 / 100), 9)</f>
      </c>
      <c r="I61" s="19" t="str">
        <f>ROUND(F61 * h61, 9)</f>
      </c>
      <c r="J61" s="20" t="str">
        <f>i61 / 1181066.0424007571906268</f>
      </c>
    </row>
    <row customHeight="1" ht="65" r="62">
      <c r="A62" s="16" t="inlineStr">
        <is>
          <t> 2.7.5 </t>
        </is>
      </c>
      <c r="B62" s="18" t="inlineStr">
        <is>
          <t> 90842 </t>
        </is>
      </c>
      <c r="C62" s="16" t="inlineStr">
        <is>
          <t>SINAPI</t>
        </is>
      </c>
      <c r="D62" s="16" t="inlineStr">
        <is>
          <t>KIT DE PORTA DE MADEIRA PARA PINTURA, SEMI-OCA (LEVE OU MÉDIA), PADRÃO MÉDIO, 70X210CM, ESPESSURA DE 3,5CM, ITENS INCLUSOS: DOBRADIÇAS, MONTAGEM E INSTALAÇÃO DO BATENTE, FECHADURA COM EXECUÇÃO DO FURO - FORNECIMENTO E INSTALAÇÃO. AF_12/2019 (P2)</t>
        </is>
      </c>
      <c r="E62" s="17" t="inlineStr">
        <is>
          <t>UN</t>
        </is>
      </c>
      <c r="F62" s="18" t="n">
        <v>5.0</v>
      </c>
      <c r="G62" s="19" t="n">
        <v>892.582904454</v>
      </c>
      <c r="H62" s="19" t="str">
        <f>ROUND(G62 * (1 + 32.78 / 100), 9)</f>
      </c>
      <c r="I62" s="19" t="str">
        <f>ROUND(F62 * h62, 9)</f>
      </c>
      <c r="J62" s="20" t="str">
        <f>i62 / 1181066.0424007571906268</f>
      </c>
    </row>
    <row customHeight="1" ht="65" r="63">
      <c r="A63" s="16" t="inlineStr">
        <is>
          <t> 2.7.6 </t>
        </is>
      </c>
      <c r="B63" s="18" t="inlineStr">
        <is>
          <t> 90843 </t>
        </is>
      </c>
      <c r="C63" s="16" t="inlineStr">
        <is>
          <t>SINAPI</t>
        </is>
      </c>
      <c r="D63" s="16" t="inlineStr">
        <is>
          <t>KIT DE PORTA DE MADEIRA PARA PINTURA, SEMI-OCA (LEVE OU MÉDIA), PADRÃO MÉDIO, 80X210CM, ESPESSURA DE 3,5CM, ITENS INCLUSOS: DOBRADIÇAS, MONTAGEM E INSTALAÇÃO DO BATENTE, FECHADURA COM EXECUÇÃO DO FURO - FORNECIMENTO E INSTALAÇÃO. AF_12/2019 (P1)</t>
        </is>
      </c>
      <c r="E63" s="17" t="inlineStr">
        <is>
          <t>UN</t>
        </is>
      </c>
      <c r="F63" s="18" t="n">
        <v>2.0</v>
      </c>
      <c r="G63" s="19" t="n">
        <v>941.184439012</v>
      </c>
      <c r="H63" s="19" t="str">
        <f>ROUND(G63 * (1 + 32.78 / 100), 9)</f>
      </c>
      <c r="I63" s="19" t="str">
        <f>ROUND(F63 * h63, 9)</f>
      </c>
      <c r="J63" s="20" t="str">
        <f>i63 / 1181066.0424007571906268</f>
      </c>
    </row>
    <row customHeight="1" ht="26" r="64">
      <c r="A64" s="16" t="inlineStr">
        <is>
          <t> 2.7.7 </t>
        </is>
      </c>
      <c r="B64" s="18" t="inlineStr">
        <is>
          <t> 100704 </t>
        </is>
      </c>
      <c r="C64" s="16" t="inlineStr">
        <is>
          <t>SINAPI</t>
        </is>
      </c>
      <c r="D64" s="16" t="inlineStr">
        <is>
          <t>PORTA CADEADO ZINCADO OXIDADO PRETO COM CADEADO DE AÇO INOX, LARGURA DE *50* MM. AF_12/2019 (EF05)</t>
        </is>
      </c>
      <c r="E64" s="17" t="inlineStr">
        <is>
          <t>UN</t>
        </is>
      </c>
      <c r="F64" s="18" t="n">
        <v>4.0</v>
      </c>
      <c r="G64" s="19" t="n">
        <v>66.816148569</v>
      </c>
      <c r="H64" s="19" t="str">
        <f>ROUND(G64 * (1 + 32.78 / 100), 9)</f>
      </c>
      <c r="I64" s="19" t="str">
        <f>ROUND(F64 * h64, 9)</f>
      </c>
      <c r="J64" s="20" t="str">
        <f>i64 / 1181066.0424007571906268</f>
      </c>
    </row>
    <row customHeight="1" ht="24" r="65">
      <c r="A65" s="8" t="inlineStr">
        <is>
          <t> 2.8 </t>
        </is>
      </c>
      <c r="B65" s="8"/>
      <c r="C65" s="8"/>
      <c r="D65" s="8" t="inlineStr">
        <is>
          <t>COBERTURA (Estrutura e telhas)</t>
        </is>
      </c>
      <c r="E65" s="8"/>
      <c r="F65" s="10"/>
      <c r="G65" s="8"/>
      <c r="H65" s="8"/>
      <c r="I65" s="11" t="n">
        <v>15988.848620127577</v>
      </c>
      <c r="J65" s="12" t="str">
        <f>i65 / 1181066.0424007571906268</f>
      </c>
    </row>
    <row customHeight="1" ht="52" r="66">
      <c r="A66" s="16" t="inlineStr">
        <is>
          <t> 2.8.1 </t>
        </is>
      </c>
      <c r="B66" s="18" t="inlineStr">
        <is>
          <t> 92541 </t>
        </is>
      </c>
      <c r="C66" s="16" t="inlineStr">
        <is>
          <t>SINAPI</t>
        </is>
      </c>
      <c r="D66" s="16" t="inlineStr">
        <is>
          <t>TRAMA DE MADEIRA COMPOSTA POR RIPAS, CAIBROS E TERÇAS PARA TELHADOS DE ATÉ 2 ÁGUAS PARA TELHA CERÂMICA CAPA-CANAL, INCLUSO TRANSPORTE VERTICAL. AF_07/2019</t>
        </is>
      </c>
      <c r="E66" s="17" t="inlineStr">
        <is>
          <t>m²</t>
        </is>
      </c>
      <c r="F66" s="18" t="n">
        <v>55.83</v>
      </c>
      <c r="G66" s="19" t="n">
        <v>52.288113131</v>
      </c>
      <c r="H66" s="19" t="str">
        <f>ROUND(G66 * (1 + 32.78 / 100), 9)</f>
      </c>
      <c r="I66" s="19" t="str">
        <f>ROUND(F66 * h66, 9)</f>
      </c>
      <c r="J66" s="20" t="str">
        <f>i66 / 1181066.0424007571906268</f>
      </c>
    </row>
    <row customHeight="1" ht="39" r="67">
      <c r="A67" s="16" t="inlineStr">
        <is>
          <t> 2.8.2 </t>
        </is>
      </c>
      <c r="B67" s="18" t="inlineStr">
        <is>
          <t> 94445 </t>
        </is>
      </c>
      <c r="C67" s="16" t="inlineStr">
        <is>
          <t>SINAPI</t>
        </is>
      </c>
      <c r="D67" s="16" t="inlineStr">
        <is>
          <t>TELHAMENTO COM TELHA CERÂMICA CAPA-CANAL, TIPO PLAN, COM ATÉ 2 ÁGUAS, INCLUSO TRANSPORTE VERTICAL. AF_07/2019 (GARAGEM E ÁREA DE LAZER)</t>
        </is>
      </c>
      <c r="E67" s="17" t="inlineStr">
        <is>
          <t>m²</t>
        </is>
      </c>
      <c r="F67" s="18" t="n">
        <v>55.83</v>
      </c>
      <c r="G67" s="19" t="n">
        <v>59.115345155</v>
      </c>
      <c r="H67" s="19" t="str">
        <f>ROUND(G67 * (1 + 32.78 / 100), 9)</f>
      </c>
      <c r="I67" s="19" t="str">
        <f>ROUND(F67 * h67, 9)</f>
      </c>
      <c r="J67" s="20" t="str">
        <f>i67 / 1181066.0424007571906268</f>
      </c>
    </row>
    <row customHeight="1" ht="26" r="68">
      <c r="A68" s="16" t="inlineStr">
        <is>
          <t> 2.8.3 </t>
        </is>
      </c>
      <c r="B68" s="18" t="inlineStr">
        <is>
          <t> 00000181 </t>
        </is>
      </c>
      <c r="C68" s="16" t="inlineStr">
        <is>
          <t>Próprio</t>
        </is>
      </c>
      <c r="D68" s="16" t="inlineStr">
        <is>
          <t>REVISÃO DE COBERTURA (INCLUINDO A TROCA DE TELHAS E ESTRUTURA EM ATÉ 20%)</t>
        </is>
      </c>
      <c r="E68" s="17" t="inlineStr">
        <is>
          <t>m²</t>
        </is>
      </c>
      <c r="F68" s="18" t="n">
        <v>134.57</v>
      </c>
      <c r="G68" s="19" t="n">
        <v>36.538094106</v>
      </c>
      <c r="H68" s="19" t="str">
        <f>ROUND(G68 * (1 + 32.78 / 100), 9)</f>
      </c>
      <c r="I68" s="19" t="str">
        <f>ROUND(F68 * h68, 9)</f>
      </c>
      <c r="J68" s="20" t="str">
        <f>i68 / 1181066.0424007571906268</f>
      </c>
    </row>
    <row customHeight="1" ht="24" r="69">
      <c r="A69" s="16" t="inlineStr">
        <is>
          <t> 2.8.4 </t>
        </is>
      </c>
      <c r="B69" s="18" t="inlineStr">
        <is>
          <t> 278 </t>
        </is>
      </c>
      <c r="C69" s="16" t="inlineStr">
        <is>
          <t>ORSE</t>
        </is>
      </c>
      <c r="D69" s="16" t="inlineStr">
        <is>
          <t>LIMPEZA (LAVAGEM) DE TELHAS</t>
        </is>
      </c>
      <c r="E69" s="17" t="inlineStr">
        <is>
          <t>m²</t>
        </is>
      </c>
      <c r="F69" s="18" t="n">
        <v>134.57</v>
      </c>
      <c r="G69" s="19" t="n">
        <v>3.4924068</v>
      </c>
      <c r="H69" s="19" t="str">
        <f>ROUND(G69 * (1 + 32.78 / 100), 9)</f>
      </c>
      <c r="I69" s="19" t="str">
        <f>ROUND(F69 * h69, 9)</f>
      </c>
      <c r="J69" s="20" t="str">
        <f>i69 / 1181066.0424007571906268</f>
      </c>
    </row>
    <row customHeight="1" ht="24" r="70">
      <c r="A70" s="16" t="inlineStr">
        <is>
          <t> 2.8.5 </t>
        </is>
      </c>
      <c r="B70" s="18" t="inlineStr">
        <is>
          <t> 304 </t>
        </is>
      </c>
      <c r="C70" s="16" t="inlineStr">
        <is>
          <t>ORSE</t>
        </is>
      </c>
      <c r="D70" s="16" t="inlineStr">
        <is>
          <t>RUFO DE CONCRETO ARMADO FCK=20MPA L=30CM E H=5CM</t>
        </is>
      </c>
      <c r="E70" s="17" t="inlineStr">
        <is>
          <t>m</t>
        </is>
      </c>
      <c r="F70" s="18" t="n">
        <v>11.5</v>
      </c>
      <c r="G70" s="19" t="n">
        <v>37.83039652</v>
      </c>
      <c r="H70" s="19" t="str">
        <f>ROUND(G70 * (1 + 32.78 / 100), 9)</f>
      </c>
      <c r="I70" s="19" t="str">
        <f>ROUND(F70 * h70, 9)</f>
      </c>
      <c r="J70" s="20" t="str">
        <f>i70 / 1181066.0424007571906268</f>
      </c>
    </row>
    <row customHeight="1" ht="24" r="71">
      <c r="A71" s="8" t="inlineStr">
        <is>
          <t> 2.9 </t>
        </is>
      </c>
      <c r="B71" s="8"/>
      <c r="C71" s="8"/>
      <c r="D71" s="8" t="inlineStr">
        <is>
          <t>INSTALAÇÕES</t>
        </is>
      </c>
      <c r="E71" s="8"/>
      <c r="F71" s="10"/>
      <c r="G71" s="8"/>
      <c r="H71" s="8"/>
      <c r="I71" s="11" t="n">
        <v>60210.72702251702</v>
      </c>
      <c r="J71" s="12" t="str">
        <f>i71 / 1181066.0424007571906268</f>
      </c>
    </row>
    <row customHeight="1" ht="24" r="72">
      <c r="A72" s="8" t="inlineStr">
        <is>
          <t> 2.9.1 </t>
        </is>
      </c>
      <c r="B72" s="8"/>
      <c r="C72" s="8"/>
      <c r="D72" s="8" t="inlineStr">
        <is>
          <t>Elétrica</t>
        </is>
      </c>
      <c r="E72" s="8"/>
      <c r="F72" s="10"/>
      <c r="G72" s="8"/>
      <c r="H72" s="8"/>
      <c r="I72" s="11" t="n">
        <v>32604.098497296807</v>
      </c>
      <c r="J72" s="12" t="str">
        <f>i72 / 1181066.0424007571906268</f>
      </c>
    </row>
    <row customHeight="1" ht="24" r="73">
      <c r="A73" s="16" t="inlineStr">
        <is>
          <t> 2.9.1.1 </t>
        </is>
      </c>
      <c r="B73" s="18" t="inlineStr">
        <is>
          <t> 059670 </t>
        </is>
      </c>
      <c r="C73" s="16" t="inlineStr">
        <is>
          <t>SBC</t>
        </is>
      </c>
      <c r="D73" s="16" t="inlineStr">
        <is>
          <t>BUCHA E ARRUELA 3/4"</t>
        </is>
      </c>
      <c r="E73" s="17" t="inlineStr">
        <is>
          <t>CJ</t>
        </is>
      </c>
      <c r="F73" s="18" t="n">
        <v>130.0</v>
      </c>
      <c r="G73" s="19" t="n">
        <v>7.11878</v>
      </c>
      <c r="H73" s="19" t="str">
        <f>ROUND(G73 * (1 + 32.78 / 100), 9)</f>
      </c>
      <c r="I73" s="19" t="str">
        <f>ROUND(F73 * h73, 9)</f>
      </c>
      <c r="J73" s="20" t="str">
        <f>i73 / 1181066.0424007571906268</f>
      </c>
    </row>
    <row customHeight="1" ht="24" r="74">
      <c r="A74" s="16" t="inlineStr">
        <is>
          <t> 2.9.1.2 </t>
        </is>
      </c>
      <c r="B74" s="18" t="inlineStr">
        <is>
          <t> 059080 </t>
        </is>
      </c>
      <c r="C74" s="16" t="inlineStr">
        <is>
          <t>SBC</t>
        </is>
      </c>
      <c r="D74" s="16" t="inlineStr">
        <is>
          <t>BUCHA E ARRUELA 1"</t>
        </is>
      </c>
      <c r="E74" s="17" t="inlineStr">
        <is>
          <t>CJ</t>
        </is>
      </c>
      <c r="F74" s="18" t="n">
        <v>20.0</v>
      </c>
      <c r="G74" s="19" t="n">
        <v>9.0904</v>
      </c>
      <c r="H74" s="19" t="str">
        <f>ROUND(G74 * (1 + 32.78 / 100), 9)</f>
      </c>
      <c r="I74" s="19" t="str">
        <f>ROUND(F74 * h74, 9)</f>
      </c>
      <c r="J74" s="20" t="str">
        <f>i74 / 1181066.0424007571906268</f>
      </c>
    </row>
    <row customHeight="1" ht="39" r="75">
      <c r="A75" s="16" t="inlineStr">
        <is>
          <t> 2.9.1.3 </t>
        </is>
      </c>
      <c r="B75" s="18" t="inlineStr">
        <is>
          <t> 91926 </t>
        </is>
      </c>
      <c r="C75" s="16" t="inlineStr">
        <is>
          <t>SINAPI</t>
        </is>
      </c>
      <c r="D75" s="16" t="inlineStr">
        <is>
          <t>CABO DE COBRE FLEXÍVEL ISOLADO, 2,5 MM², ANTI-CHAMA 450/750 V, PARA CIRCUITOS TERMINAIS - FORNECIMENTO E INSTALAÇÃO. AF_12/2015 - PRETO</t>
        </is>
      </c>
      <c r="E75" s="17" t="inlineStr">
        <is>
          <t>M</t>
        </is>
      </c>
      <c r="F75" s="18" t="n">
        <v>400.0</v>
      </c>
      <c r="G75" s="19" t="n">
        <v>4.28819155</v>
      </c>
      <c r="H75" s="19" t="str">
        <f>ROUND(G75 * (1 + 32.78 / 100), 9)</f>
      </c>
      <c r="I75" s="19" t="str">
        <f>ROUND(F75 * h75, 9)</f>
      </c>
      <c r="J75" s="20" t="str">
        <f>i75 / 1181066.0424007571906268</f>
      </c>
    </row>
    <row customHeight="1" ht="39" r="76">
      <c r="A76" s="16" t="inlineStr">
        <is>
          <t> 2.9.1.4 </t>
        </is>
      </c>
      <c r="B76" s="18" t="inlineStr">
        <is>
          <t> 91926 </t>
        </is>
      </c>
      <c r="C76" s="16" t="inlineStr">
        <is>
          <t>SINAPI</t>
        </is>
      </c>
      <c r="D76" s="16" t="inlineStr">
        <is>
          <t>CABO DE COBRE FLEXÍVEL ISOLADO, 2,5 MM², ANTI-CHAMA 450/750 V, PARA CIRCUITOS TERMINAIS - FORNECIMENTO E INSTALAÇÃO. AF_12/2015 - AZUL</t>
        </is>
      </c>
      <c r="E76" s="17" t="inlineStr">
        <is>
          <t>M</t>
        </is>
      </c>
      <c r="F76" s="18" t="n">
        <v>400.0</v>
      </c>
      <c r="G76" s="19" t="n">
        <v>4.28819155</v>
      </c>
      <c r="H76" s="19" t="str">
        <f>ROUND(G76 * (1 + 32.78 / 100), 9)</f>
      </c>
      <c r="I76" s="19" t="str">
        <f>ROUND(F76 * h76, 9)</f>
      </c>
      <c r="J76" s="20" t="str">
        <f>i76 / 1181066.0424007571906268</f>
      </c>
    </row>
    <row customHeight="1" ht="39" r="77">
      <c r="A77" s="16" t="inlineStr">
        <is>
          <t> 2.9.1.5 </t>
        </is>
      </c>
      <c r="B77" s="18" t="inlineStr">
        <is>
          <t> 91926 </t>
        </is>
      </c>
      <c r="C77" s="16" t="inlineStr">
        <is>
          <t>SINAPI</t>
        </is>
      </c>
      <c r="D77" s="16" t="inlineStr">
        <is>
          <t>CABO DE COBRE FLEXÍVEL ISOLADO, 2,5 MM², ANTI-CHAMA 450/750 V, PARA CIRCUITOS TERMINAIS - FORNECIMENTO E INSTALAÇÃO. AF_12/2015 - VERDE</t>
        </is>
      </c>
      <c r="E77" s="17" t="inlineStr">
        <is>
          <t>M</t>
        </is>
      </c>
      <c r="F77" s="18" t="n">
        <v>300.0</v>
      </c>
      <c r="G77" s="19" t="n">
        <v>4.28819155</v>
      </c>
      <c r="H77" s="19" t="str">
        <f>ROUND(G77 * (1 + 32.78 / 100), 9)</f>
      </c>
      <c r="I77" s="19" t="str">
        <f>ROUND(F77 * h77, 9)</f>
      </c>
      <c r="J77" s="20" t="str">
        <f>i77 / 1181066.0424007571906268</f>
      </c>
    </row>
    <row customHeight="1" ht="39" r="78">
      <c r="A78" s="16" t="inlineStr">
        <is>
          <t> 2.9.1.6 </t>
        </is>
      </c>
      <c r="B78" s="18" t="inlineStr">
        <is>
          <t> 91926 </t>
        </is>
      </c>
      <c r="C78" s="16" t="inlineStr">
        <is>
          <t>SINAPI</t>
        </is>
      </c>
      <c r="D78" s="16" t="inlineStr">
        <is>
          <t>CABO DE COBRE FLEXÍVEL ISOLADO, 2,5 MM², ANTI-CHAMA 450/750 V, PARA CIRCUITOS TERMINAIS - FORNECIMENTO E INSTALAÇÃO. AF_12/2015 - BRANCO</t>
        </is>
      </c>
      <c r="E78" s="17" t="inlineStr">
        <is>
          <t>M</t>
        </is>
      </c>
      <c r="F78" s="18" t="n">
        <v>200.0</v>
      </c>
      <c r="G78" s="19" t="n">
        <v>4.28819155</v>
      </c>
      <c r="H78" s="19" t="str">
        <f>ROUND(G78 * (1 + 32.78 / 100), 9)</f>
      </c>
      <c r="I78" s="19" t="str">
        <f>ROUND(F78 * h78, 9)</f>
      </c>
      <c r="J78" s="20" t="str">
        <f>i78 / 1181066.0424007571906268</f>
      </c>
    </row>
    <row customHeight="1" ht="39" r="79">
      <c r="A79" s="16" t="inlineStr">
        <is>
          <t> 2.9.1.7 </t>
        </is>
      </c>
      <c r="B79" s="18" t="inlineStr">
        <is>
          <t> 91928 </t>
        </is>
      </c>
      <c r="C79" s="16" t="inlineStr">
        <is>
          <t>SINAPI</t>
        </is>
      </c>
      <c r="D79" s="16" t="inlineStr">
        <is>
          <t>CABO DE COBRE FLEXÍVEL ISOLADO, 4 MM², ANTI-CHAMA 450/750 V, PARA CIRCUITOS TERMINAIS - FORNECIMENTO E INSTALAÇÃO. AF_12/2015 - PRETO</t>
        </is>
      </c>
      <c r="E79" s="17" t="inlineStr">
        <is>
          <t>M</t>
        </is>
      </c>
      <c r="F79" s="18" t="n">
        <v>100.0</v>
      </c>
      <c r="G79" s="19" t="n">
        <v>6.672715119</v>
      </c>
      <c r="H79" s="19" t="str">
        <f>ROUND(G79 * (1 + 32.78 / 100), 9)</f>
      </c>
      <c r="I79" s="19" t="str">
        <f>ROUND(F79 * h79, 9)</f>
      </c>
      <c r="J79" s="20" t="str">
        <f>i79 / 1181066.0424007571906268</f>
      </c>
    </row>
    <row customHeight="1" ht="39" r="80">
      <c r="A80" s="16" t="inlineStr">
        <is>
          <t> 2.9.1.8 </t>
        </is>
      </c>
      <c r="B80" s="18" t="inlineStr">
        <is>
          <t> 91928 </t>
        </is>
      </c>
      <c r="C80" s="16" t="inlineStr">
        <is>
          <t>SINAPI</t>
        </is>
      </c>
      <c r="D80" s="16" t="inlineStr">
        <is>
          <t>CABO DE COBRE FLEXÍVEL ISOLADO, 4 MM², ANTI-CHAMA 450/750 V, PARA CIRCUITOS TERMINAIS - FORNECIMENTO E INSTALAÇÃO. AF_12/2015 - VERDE</t>
        </is>
      </c>
      <c r="E80" s="17" t="inlineStr">
        <is>
          <t>M</t>
        </is>
      </c>
      <c r="F80" s="18" t="n">
        <v>100.0</v>
      </c>
      <c r="G80" s="19" t="n">
        <v>6.672715119</v>
      </c>
      <c r="H80" s="19" t="str">
        <f>ROUND(G80 * (1 + 32.78 / 100), 9)</f>
      </c>
      <c r="I80" s="19" t="str">
        <f>ROUND(F80 * h80, 9)</f>
      </c>
      <c r="J80" s="20" t="str">
        <f>i80 / 1181066.0424007571906268</f>
      </c>
    </row>
    <row customHeight="1" ht="39" r="81">
      <c r="A81" s="16" t="inlineStr">
        <is>
          <t> 2.9.1.9 </t>
        </is>
      </c>
      <c r="B81" s="18" t="inlineStr">
        <is>
          <t> 91930 </t>
        </is>
      </c>
      <c r="C81" s="16" t="inlineStr">
        <is>
          <t>SINAPI</t>
        </is>
      </c>
      <c r="D81" s="16" t="inlineStr">
        <is>
          <t>CABO DE COBRE FLEXÍVEL ISOLADO, 6 MM², ANTI-CHAMA 450/750 V, PARA CIRCUITOS TERMINAIS - FORNECIMENTO E INSTALAÇÃO. AF_12/2015 - PRETO</t>
        </is>
      </c>
      <c r="E81" s="17" t="inlineStr">
        <is>
          <t>M</t>
        </is>
      </c>
      <c r="F81" s="18" t="n">
        <v>50.0</v>
      </c>
      <c r="G81" s="19" t="n">
        <v>9.340173002</v>
      </c>
      <c r="H81" s="19" t="str">
        <f>ROUND(G81 * (1 + 32.78 / 100), 9)</f>
      </c>
      <c r="I81" s="19" t="str">
        <f>ROUND(F81 * h81, 9)</f>
      </c>
      <c r="J81" s="20" t="str">
        <f>i81 / 1181066.0424007571906268</f>
      </c>
    </row>
    <row customHeight="1" ht="39" r="82">
      <c r="A82" s="16" t="inlineStr">
        <is>
          <t> 2.9.1.10 </t>
        </is>
      </c>
      <c r="B82" s="18" t="inlineStr">
        <is>
          <t> 91930 </t>
        </is>
      </c>
      <c r="C82" s="16" t="inlineStr">
        <is>
          <t>SINAPI</t>
        </is>
      </c>
      <c r="D82" s="16" t="inlineStr">
        <is>
          <t>CABO DE COBRE FLEXÍVEL ISOLADO, 6 MM², ANTI-CHAMA 450/750 V, PARA CIRCUITOS TERMINAIS - FORNECIMENTO E INSTALAÇÃO. AF_12/2015 - VERDE</t>
        </is>
      </c>
      <c r="E82" s="17" t="inlineStr">
        <is>
          <t>M</t>
        </is>
      </c>
      <c r="F82" s="18" t="n">
        <v>25.0</v>
      </c>
      <c r="G82" s="19" t="n">
        <v>9.340173002</v>
      </c>
      <c r="H82" s="19" t="str">
        <f>ROUND(G82 * (1 + 32.78 / 100), 9)</f>
      </c>
      <c r="I82" s="19" t="str">
        <f>ROUND(F82 * h82, 9)</f>
      </c>
      <c r="J82" s="20" t="str">
        <f>i82 / 1181066.0424007571906268</f>
      </c>
    </row>
    <row customHeight="1" ht="39" r="83">
      <c r="A83" s="16" t="inlineStr">
        <is>
          <t> 2.9.1.11 </t>
        </is>
      </c>
      <c r="B83" s="18" t="inlineStr">
        <is>
          <t> 91934 </t>
        </is>
      </c>
      <c r="C83" s="16" t="inlineStr">
        <is>
          <t>SINAPI</t>
        </is>
      </c>
      <c r="D83" s="16" t="inlineStr">
        <is>
          <t>CABO DE COBRE FLEXÍVEL ISOLADO, 16 MM², ANTI-CHAMA 450/750 V, PARA CIRCUITOS TERMINAIS - FORNECIMENTO E INSTALAÇÃO. AF_12/2015 - VERDE</t>
        </is>
      </c>
      <c r="E83" s="17" t="inlineStr">
        <is>
          <t>M</t>
        </is>
      </c>
      <c r="F83" s="18" t="n">
        <v>15.0</v>
      </c>
      <c r="G83" s="19" t="n">
        <v>24.258225887</v>
      </c>
      <c r="H83" s="19" t="str">
        <f>ROUND(G83 * (1 + 32.78 / 100), 9)</f>
      </c>
      <c r="I83" s="19" t="str">
        <f>ROUND(F83 * h83, 9)</f>
      </c>
      <c r="J83" s="20" t="str">
        <f>i83 / 1181066.0424007571906268</f>
      </c>
    </row>
    <row customHeight="1" ht="39" r="84">
      <c r="A84" s="16" t="inlineStr">
        <is>
          <t> 2.9.1.12 </t>
        </is>
      </c>
      <c r="B84" s="18" t="inlineStr">
        <is>
          <t> 91934 </t>
        </is>
      </c>
      <c r="C84" s="16" t="inlineStr">
        <is>
          <t>SINAPI</t>
        </is>
      </c>
      <c r="D84" s="16" t="inlineStr">
        <is>
          <t>CABO DE COBRE FLEXÍVEL ISOLADO, 16 MM², ANTI-CHAMA 450/750 V, PARA CIRCUITOS TERMINAIS - FORNECIMENTO E INSTALAÇÃO. AF_12/2015 - PRETO</t>
        </is>
      </c>
      <c r="E84" s="17" t="inlineStr">
        <is>
          <t>M</t>
        </is>
      </c>
      <c r="F84" s="18" t="n">
        <v>75.0</v>
      </c>
      <c r="G84" s="19" t="n">
        <v>24.258225887</v>
      </c>
      <c r="H84" s="19" t="str">
        <f>ROUND(G84 * (1 + 32.78 / 100), 9)</f>
      </c>
      <c r="I84" s="19" t="str">
        <f>ROUND(F84 * h84, 9)</f>
      </c>
      <c r="J84" s="20" t="str">
        <f>i84 / 1181066.0424007571906268</f>
      </c>
    </row>
    <row customHeight="1" ht="39" r="85">
      <c r="A85" s="16" t="inlineStr">
        <is>
          <t> 2.9.1.13 </t>
        </is>
      </c>
      <c r="B85" s="18" t="inlineStr">
        <is>
          <t> 91934 </t>
        </is>
      </c>
      <c r="C85" s="16" t="inlineStr">
        <is>
          <t>SINAPI</t>
        </is>
      </c>
      <c r="D85" s="16" t="inlineStr">
        <is>
          <t>CABO DE COBRE FLEXÍVEL ISOLADO, 16 MM², ANTI-CHAMA 450/750 V, PARA CIRCUITOS TERMINAIS - FORNECIMENTO E INSTALAÇÃO. AF_12/2015 - AZUL</t>
        </is>
      </c>
      <c r="E85" s="17" t="inlineStr">
        <is>
          <t>M</t>
        </is>
      </c>
      <c r="F85" s="18" t="n">
        <v>25.0</v>
      </c>
      <c r="G85" s="19" t="n">
        <v>24.258225887</v>
      </c>
      <c r="H85" s="19" t="str">
        <f>ROUND(G85 * (1 + 32.78 / 100), 9)</f>
      </c>
      <c r="I85" s="19" t="str">
        <f>ROUND(F85 * h85, 9)</f>
      </c>
      <c r="J85" s="20" t="str">
        <f>i85 / 1181066.0424007571906268</f>
      </c>
    </row>
    <row customHeight="1" ht="39" r="86">
      <c r="A86" s="16" t="inlineStr">
        <is>
          <t> 2.9.1.14 </t>
        </is>
      </c>
      <c r="B86" s="18" t="inlineStr">
        <is>
          <t> 91854 </t>
        </is>
      </c>
      <c r="C86" s="16" t="inlineStr">
        <is>
          <t>SINAPI</t>
        </is>
      </c>
      <c r="D86" s="16" t="inlineStr">
        <is>
          <t>ELETRODUTO FLEXÍVEL CORRUGADO, PVC, DN 25 MM (3/4"), PARA CIRCUITOS TERMINAIS, INSTALADO EM PAREDE - FORNECIMENTO E INSTALAÇÃO. AF_12/2015</t>
        </is>
      </c>
      <c r="E86" s="17" t="inlineStr">
        <is>
          <t>M</t>
        </is>
      </c>
      <c r="F86" s="18" t="n">
        <v>240.0</v>
      </c>
      <c r="G86" s="19" t="n">
        <v>8.719031025</v>
      </c>
      <c r="H86" s="19" t="str">
        <f>ROUND(G86 * (1 + 32.78 / 100), 9)</f>
      </c>
      <c r="I86" s="19" t="str">
        <f>ROUND(F86 * h86, 9)</f>
      </c>
      <c r="J86" s="20" t="str">
        <f>i86 / 1181066.0424007571906268</f>
      </c>
    </row>
    <row customHeight="1" ht="39" r="87">
      <c r="A87" s="16" t="inlineStr">
        <is>
          <t> 2.9.1.15 </t>
        </is>
      </c>
      <c r="B87" s="18" t="inlineStr">
        <is>
          <t> 91836 </t>
        </is>
      </c>
      <c r="C87" s="16" t="inlineStr">
        <is>
          <t>SINAPI</t>
        </is>
      </c>
      <c r="D87" s="16" t="inlineStr">
        <is>
          <t>ELETRODUTO FLEXÍVEL CORRUGADO, PVC, DN 32 MM (1"), PARA CIRCUITOS TERMINAIS, INSTALADO EM FORRO - FORNECIMENTO E INSTALAÇÃO. AF_12/2015</t>
        </is>
      </c>
      <c r="E87" s="17" t="inlineStr">
        <is>
          <t>M</t>
        </is>
      </c>
      <c r="F87" s="18" t="n">
        <v>54.0</v>
      </c>
      <c r="G87" s="19" t="n">
        <v>20.343035581</v>
      </c>
      <c r="H87" s="19" t="str">
        <f>ROUND(G87 * (1 + 32.78 / 100), 9)</f>
      </c>
      <c r="I87" s="19" t="str">
        <f>ROUND(F87 * h87, 9)</f>
      </c>
      <c r="J87" s="20" t="str">
        <f>i87 / 1181066.0424007571906268</f>
      </c>
    </row>
    <row customHeight="1" ht="39" r="88">
      <c r="A88" s="16" t="inlineStr">
        <is>
          <t> 2.9.1.16 </t>
        </is>
      </c>
      <c r="B88" s="18" t="inlineStr">
        <is>
          <t> 91860 </t>
        </is>
      </c>
      <c r="C88" s="16" t="inlineStr">
        <is>
          <t>SINAPI</t>
        </is>
      </c>
      <c r="D88" s="16" t="inlineStr">
        <is>
          <t>ELETRODUTO FLEXÍVEL CORRUGADO, PEAD, DN 40 MM (1 1/4"), PARA CIRCUITOS TERMINAIS, INSTALADO EM PAREDE - FORNECIMENTO E INSTALAÇÃO. AF_12/2015</t>
        </is>
      </c>
      <c r="E88" s="17" t="inlineStr">
        <is>
          <t>M</t>
        </is>
      </c>
      <c r="F88" s="18" t="n">
        <v>27.0</v>
      </c>
      <c r="G88" s="19" t="n">
        <v>11.669736045</v>
      </c>
      <c r="H88" s="19" t="str">
        <f>ROUND(G88 * (1 + 32.78 / 100), 9)</f>
      </c>
      <c r="I88" s="19" t="str">
        <f>ROUND(F88 * h88, 9)</f>
      </c>
      <c r="J88" s="20" t="str">
        <f>i88 / 1181066.0424007571906268</f>
      </c>
    </row>
    <row customHeight="1" ht="39" r="89">
      <c r="A89" s="16" t="inlineStr">
        <is>
          <t> 2.9.1.17 </t>
        </is>
      </c>
      <c r="B89" s="18" t="inlineStr">
        <is>
          <t> 91890 </t>
        </is>
      </c>
      <c r="C89" s="16" t="inlineStr">
        <is>
          <t>SINAPI</t>
        </is>
      </c>
      <c r="D89" s="16" t="inlineStr">
        <is>
          <t>CURVA 90 GRAUS PARA ELETRODUTO, PVC, ROSCÁVEL, DN 25 MM (3/4"), PARA CIRCUITOS TERMINAIS, INSTALADA EM FORRO - FORNECIMENTO E INSTALAÇÃO. AF_12/2015</t>
        </is>
      </c>
      <c r="E89" s="17" t="inlineStr">
        <is>
          <t>UN</t>
        </is>
      </c>
      <c r="F89" s="18" t="n">
        <v>42.0</v>
      </c>
      <c r="G89" s="19" t="n">
        <v>11.881002321</v>
      </c>
      <c r="H89" s="19" t="str">
        <f>ROUND(G89 * (1 + 32.78 / 100), 9)</f>
      </c>
      <c r="I89" s="19" t="str">
        <f>ROUND(F89 * h89, 9)</f>
      </c>
      <c r="J89" s="20" t="str">
        <f>i89 / 1181066.0424007571906268</f>
      </c>
    </row>
    <row customHeight="1" ht="39" r="90">
      <c r="A90" s="16" t="inlineStr">
        <is>
          <t> 2.9.1.18 </t>
        </is>
      </c>
      <c r="B90" s="18" t="inlineStr">
        <is>
          <t> 91893 </t>
        </is>
      </c>
      <c r="C90" s="16" t="inlineStr">
        <is>
          <t>SINAPI</t>
        </is>
      </c>
      <c r="D90" s="16" t="inlineStr">
        <is>
          <t>CURVA 90 GRAUS PARA ELETRODUTO, PVC, ROSCÁVEL, DN 32 MM (1"), PARA CIRCUITOS TERMINAIS, INSTALADA EM FORRO - FORNECIMENTO E INSTALAÇÃO. AF_12/2015</t>
        </is>
      </c>
      <c r="E90" s="17" t="inlineStr">
        <is>
          <t>UN</t>
        </is>
      </c>
      <c r="F90" s="18" t="n">
        <v>5.0</v>
      </c>
      <c r="G90" s="19" t="n">
        <v>14.978837656</v>
      </c>
      <c r="H90" s="19" t="str">
        <f>ROUND(G90 * (1 + 32.78 / 100), 9)</f>
      </c>
      <c r="I90" s="19" t="str">
        <f>ROUND(F90 * h90, 9)</f>
      </c>
      <c r="J90" s="20" t="str">
        <f>i90 / 1181066.0424007571906268</f>
      </c>
    </row>
    <row customHeight="1" ht="52" r="91">
      <c r="A91" s="16" t="inlineStr">
        <is>
          <t> 2.9.1.19 </t>
        </is>
      </c>
      <c r="B91" s="18" t="inlineStr">
        <is>
          <t> 91920 </t>
        </is>
      </c>
      <c r="C91" s="16" t="inlineStr">
        <is>
          <t>SINAPI</t>
        </is>
      </c>
      <c r="D91" s="16" t="inlineStr">
        <is>
          <t>CURVA 90 GRAUS PARA ELETRODUTO, PVC, ROSCÁVEL, DN 40 MM (1 1/4"), PARA CIRCUITOS TERMINAIS, INSTALADA EM PAREDE - FORNECIMENTO E INSTALAÇÃO. AF_12/2015</t>
        </is>
      </c>
      <c r="E91" s="17" t="inlineStr">
        <is>
          <t>UN</t>
        </is>
      </c>
      <c r="F91" s="18" t="n">
        <v>2.0</v>
      </c>
      <c r="G91" s="19" t="n">
        <v>20.848232269</v>
      </c>
      <c r="H91" s="19" t="str">
        <f>ROUND(G91 * (1 + 32.78 / 100), 9)</f>
      </c>
      <c r="I91" s="19" t="str">
        <f>ROUND(F91 * h91, 9)</f>
      </c>
      <c r="J91" s="20" t="str">
        <f>i91 / 1181066.0424007571906268</f>
      </c>
    </row>
    <row customHeight="1" ht="39" r="92">
      <c r="A92" s="16" t="inlineStr">
        <is>
          <t> 2.9.1.20 </t>
        </is>
      </c>
      <c r="B92" s="18" t="inlineStr">
        <is>
          <t> 91940 </t>
        </is>
      </c>
      <c r="C92" s="16" t="inlineStr">
        <is>
          <t>SINAPI</t>
        </is>
      </c>
      <c r="D92" s="16" t="inlineStr">
        <is>
          <t>CAIXA RETANGULAR 4" X 2", PVC, INSTALADA EM PAREDE - FORNECIMENTO E INSTALAÇÃO. AF_12/2015</t>
        </is>
      </c>
      <c r="E92" s="17" t="inlineStr">
        <is>
          <t>UN</t>
        </is>
      </c>
      <c r="F92" s="18" t="n">
        <v>57.0</v>
      </c>
      <c r="G92" s="19" t="n">
        <v>15.73737902</v>
      </c>
      <c r="H92" s="19" t="str">
        <f>ROUND(G92 * (1 + 32.78 / 100), 9)</f>
      </c>
      <c r="I92" s="19" t="str">
        <f>ROUND(F92 * h92, 9)</f>
      </c>
      <c r="J92" s="20" t="str">
        <f>i92 / 1181066.0424007571906268</f>
      </c>
    </row>
    <row customHeight="1" ht="39" r="93">
      <c r="A93" s="16" t="inlineStr">
        <is>
          <t> 2.9.1.21 </t>
        </is>
      </c>
      <c r="B93" s="18" t="inlineStr">
        <is>
          <t> 91943 </t>
        </is>
      </c>
      <c r="C93" s="16" t="inlineStr">
        <is>
          <t>SINAPI</t>
        </is>
      </c>
      <c r="D93" s="16" t="inlineStr">
        <is>
          <t>CAIXA RETANGULAR 4" X 4", PVC, INSTALADA EM PAREDE - FORNECIMENTO E INSTALAÇÃO. AF_12/2015</t>
        </is>
      </c>
      <c r="E93" s="17" t="inlineStr">
        <is>
          <t>UN</t>
        </is>
      </c>
      <c r="F93" s="18" t="n">
        <v>2.0</v>
      </c>
      <c r="G93" s="19" t="n">
        <v>19.149593377</v>
      </c>
      <c r="H93" s="19" t="str">
        <f>ROUND(G93 * (1 + 32.78 / 100), 9)</f>
      </c>
      <c r="I93" s="19" t="str">
        <f>ROUND(F93 * h93, 9)</f>
      </c>
      <c r="J93" s="20" t="str">
        <f>i93 / 1181066.0424007571906268</f>
      </c>
    </row>
    <row customHeight="1" ht="26" r="94">
      <c r="A94" s="16" t="inlineStr">
        <is>
          <t> 2.9.1.22 </t>
        </is>
      </c>
      <c r="B94" s="18" t="inlineStr">
        <is>
          <t> 91936 </t>
        </is>
      </c>
      <c r="C94" s="16" t="inlineStr">
        <is>
          <t>SINAPI</t>
        </is>
      </c>
      <c r="D94" s="16" t="inlineStr">
        <is>
          <t>CAIXA OCTOGONAL 4" X 4", PVC, INSTALADA EM LAJE - FORNECIMENTO E INSTALAÇÃO. AF_12/2015</t>
        </is>
      </c>
      <c r="E94" s="17" t="inlineStr">
        <is>
          <t>UN</t>
        </is>
      </c>
      <c r="F94" s="18" t="n">
        <v>21.0</v>
      </c>
      <c r="G94" s="19" t="n">
        <v>16.532924832</v>
      </c>
      <c r="H94" s="19" t="str">
        <f>ROUND(G94 * (1 + 32.78 / 100), 9)</f>
      </c>
      <c r="I94" s="19" t="str">
        <f>ROUND(F94 * h94, 9)</f>
      </c>
      <c r="J94" s="20" t="str">
        <f>i94 / 1181066.0424007571906268</f>
      </c>
    </row>
    <row customHeight="1" ht="26" r="95">
      <c r="A95" s="45" t="inlineStr">
        <is>
          <t> 2.9.1.23 </t>
        </is>
      </c>
      <c r="B95" s="47" t="inlineStr">
        <is>
          <t> 00038091 </t>
        </is>
      </c>
      <c r="C95" s="45" t="inlineStr">
        <is>
          <t>SINAPI</t>
        </is>
      </c>
      <c r="D95" s="45" t="inlineStr">
        <is>
          <t>ESPELHO / PLACA CEGA 4" X 2", PARA INSTALACAO DE TOMADAS E INTERRUPTORES</t>
        </is>
      </c>
      <c r="E95" s="46" t="inlineStr">
        <is>
          <t>UN</t>
        </is>
      </c>
      <c r="F95" s="47" t="n">
        <v>6.0</v>
      </c>
      <c r="G95" s="48" t="n">
        <v>2.76</v>
      </c>
      <c r="H95" s="48" t="str">
        <f>ROUND(G95 * (1 + 32.78 / 100), 9)</f>
      </c>
      <c r="I95" s="48" t="str">
        <f>ROUND(F95 * h95, 9)</f>
      </c>
      <c r="J95" s="49" t="str">
        <f>i95 / 1181066.0424007571906268</f>
      </c>
    </row>
    <row customHeight="1" ht="39" r="96">
      <c r="A96" s="16" t="inlineStr">
        <is>
          <t> 2.9.1.24 </t>
        </is>
      </c>
      <c r="B96" s="18" t="inlineStr">
        <is>
          <t> 91953 </t>
        </is>
      </c>
      <c r="C96" s="16" t="inlineStr">
        <is>
          <t>SINAPI</t>
        </is>
      </c>
      <c r="D96" s="16" t="inlineStr">
        <is>
          <t>INTERRUPTOR SIMPLES (1 MÓDULO), 10A/250V, INCLUINDO SUPORTE E PLACA - FORNECIMENTO E INSTALAÇÃO. AF_12/2015</t>
        </is>
      </c>
      <c r="E96" s="17" t="inlineStr">
        <is>
          <t>UN</t>
        </is>
      </c>
      <c r="F96" s="18" t="n">
        <v>8.0</v>
      </c>
      <c r="G96" s="19" t="n">
        <v>27.958256484</v>
      </c>
      <c r="H96" s="19" t="str">
        <f>ROUND(G96 * (1 + 32.78 / 100), 9)</f>
      </c>
      <c r="I96" s="19" t="str">
        <f>ROUND(F96 * h96, 9)</f>
      </c>
      <c r="J96" s="20" t="str">
        <f>i96 / 1181066.0424007571906268</f>
      </c>
    </row>
    <row customHeight="1" ht="39" r="97">
      <c r="A97" s="16" t="inlineStr">
        <is>
          <t> 2.9.1.25 </t>
        </is>
      </c>
      <c r="B97" s="18" t="inlineStr">
        <is>
          <t> 91959 </t>
        </is>
      </c>
      <c r="C97" s="16" t="inlineStr">
        <is>
          <t>SINAPI</t>
        </is>
      </c>
      <c r="D97" s="16" t="inlineStr">
        <is>
          <t>INTERRUPTOR SIMPLES (2 MÓDULOS), 10A/250V, INCLUINDO SUPORTE E PLACA - FORNECIMENTO E INSTALAÇÃO. AF_12/2015</t>
        </is>
      </c>
      <c r="E97" s="17" t="inlineStr">
        <is>
          <t>UN</t>
        </is>
      </c>
      <c r="F97" s="18" t="n">
        <v>2.0</v>
      </c>
      <c r="G97" s="19" t="n">
        <v>42.907433157</v>
      </c>
      <c r="H97" s="19" t="str">
        <f>ROUND(G97 * (1 + 32.78 / 100), 9)</f>
      </c>
      <c r="I97" s="19" t="str">
        <f>ROUND(F97 * h97, 9)</f>
      </c>
      <c r="J97" s="20" t="str">
        <f>i97 / 1181066.0424007571906268</f>
      </c>
    </row>
    <row customHeight="1" ht="39" r="98">
      <c r="A98" s="16" t="inlineStr">
        <is>
          <t> 2.9.1.26 </t>
        </is>
      </c>
      <c r="B98" s="18" t="inlineStr">
        <is>
          <t> 91967 </t>
        </is>
      </c>
      <c r="C98" s="16" t="inlineStr">
        <is>
          <t>SINAPI</t>
        </is>
      </c>
      <c r="D98" s="16" t="inlineStr">
        <is>
          <t>INTERRUPTOR SIMPLES (3 MÓDULOS), 10A/250V, INCLUINDO SUPORTE E PLACA - FORNECIMENTO E INSTALAÇÃO. AF_12/2015</t>
        </is>
      </c>
      <c r="E98" s="17" t="inlineStr">
        <is>
          <t>UN</t>
        </is>
      </c>
      <c r="F98" s="18" t="n">
        <v>1.0</v>
      </c>
      <c r="G98" s="19" t="n">
        <v>57.85660983</v>
      </c>
      <c r="H98" s="19" t="str">
        <f>ROUND(G98 * (1 + 32.78 / 100), 9)</f>
      </c>
      <c r="I98" s="19" t="str">
        <f>ROUND(F98 * h98, 9)</f>
      </c>
      <c r="J98" s="20" t="str">
        <f>i98 / 1181066.0424007571906268</f>
      </c>
    </row>
    <row customHeight="1" ht="39" r="99">
      <c r="A99" s="16" t="inlineStr">
        <is>
          <t> 2.9.1.27 </t>
        </is>
      </c>
      <c r="B99" s="18" t="inlineStr">
        <is>
          <t> 92000 </t>
        </is>
      </c>
      <c r="C99" s="16" t="inlineStr">
        <is>
          <t>SINAPI</t>
        </is>
      </c>
      <c r="D99" s="16" t="inlineStr">
        <is>
          <t>TOMADA BAIXA DE EMBUTIR (1 MÓDULO), 2P+T 10 A, INCLUINDO SUPORTE E PLACA - FORNECIMENTO E INSTALAÇÃO. AF_12/2015</t>
        </is>
      </c>
      <c r="E99" s="17" t="inlineStr">
        <is>
          <t>UN</t>
        </is>
      </c>
      <c r="F99" s="18" t="n">
        <v>14.0</v>
      </c>
      <c r="G99" s="19" t="n">
        <v>29.458208053</v>
      </c>
      <c r="H99" s="19" t="str">
        <f>ROUND(G99 * (1 + 32.78 / 100), 9)</f>
      </c>
      <c r="I99" s="19" t="str">
        <f>ROUND(F99 * h99, 9)</f>
      </c>
      <c r="J99" s="20" t="str">
        <f>i99 / 1181066.0424007571906268</f>
      </c>
    </row>
    <row customHeight="1" ht="39" r="100">
      <c r="A100" s="16" t="inlineStr">
        <is>
          <t> 2.9.1.28 </t>
        </is>
      </c>
      <c r="B100" s="18" t="inlineStr">
        <is>
          <t> 92008 </t>
        </is>
      </c>
      <c r="C100" s="16" t="inlineStr">
        <is>
          <t>SINAPI</t>
        </is>
      </c>
      <c r="D100" s="16" t="inlineStr">
        <is>
          <t>TOMADA BAIXA DE EMBUTIR (2 MÓDULOS), 2P+T 10 A, INCLUINDO SUPORTE E PLACA - FORNECIMENTO E INSTALAÇÃO. AF_12/2015</t>
        </is>
      </c>
      <c r="E100" s="17" t="inlineStr">
        <is>
          <t>UN</t>
        </is>
      </c>
      <c r="F100" s="18" t="n">
        <v>10.0</v>
      </c>
      <c r="G100" s="19" t="n">
        <v>45.865341138</v>
      </c>
      <c r="H100" s="19" t="str">
        <f>ROUND(G100 * (1 + 32.78 / 100), 9)</f>
      </c>
      <c r="I100" s="19" t="str">
        <f>ROUND(F100 * h100, 9)</f>
      </c>
      <c r="J100" s="20" t="str">
        <f>i100 / 1181066.0424007571906268</f>
      </c>
    </row>
    <row customHeight="1" ht="26" r="101">
      <c r="A101" s="16" t="inlineStr">
        <is>
          <t> 2.9.1.29 </t>
        </is>
      </c>
      <c r="B101" s="18" t="inlineStr">
        <is>
          <t> 060121 </t>
        </is>
      </c>
      <c r="C101" s="16" t="inlineStr">
        <is>
          <t>SBC</t>
        </is>
      </c>
      <c r="D101" s="16" t="inlineStr">
        <is>
          <t>LUMINARIA DE EMBUTIR PLAFON 18W LED BRANCO FRIO 22,5x22,5 (INCLUSIVE LÂMPADA)</t>
        </is>
      </c>
      <c r="E101" s="17" t="inlineStr">
        <is>
          <t>UN</t>
        </is>
      </c>
      <c r="F101" s="18" t="n">
        <v>11.0</v>
      </c>
      <c r="G101" s="19" t="n">
        <v>53.89716</v>
      </c>
      <c r="H101" s="19" t="str">
        <f>ROUND(G101 * (1 + 32.78 / 100), 9)</f>
      </c>
      <c r="I101" s="19" t="str">
        <f>ROUND(F101 * h101, 9)</f>
      </c>
      <c r="J101" s="20" t="str">
        <f>i101 / 1181066.0424007571906268</f>
      </c>
    </row>
    <row customHeight="1" ht="26" r="102">
      <c r="A102" s="16" t="inlineStr">
        <is>
          <t> 2.9.1.30 </t>
        </is>
      </c>
      <c r="B102" s="18" t="inlineStr">
        <is>
          <t> 060287 </t>
        </is>
      </c>
      <c r="C102" s="16" t="inlineStr">
        <is>
          <t>SBC</t>
        </is>
      </c>
      <c r="D102" s="16" t="inlineStr">
        <is>
          <t>LUMINARIA DE SOBREPOR PLAFON 30W 1 LED BRANCO</t>
        </is>
      </c>
      <c r="E102" s="17" t="inlineStr">
        <is>
          <t>UN</t>
        </is>
      </c>
      <c r="F102" s="18" t="n">
        <v>7.0</v>
      </c>
      <c r="G102" s="19" t="n">
        <v>163.03066</v>
      </c>
      <c r="H102" s="19" t="str">
        <f>ROUND(G102 * (1 + 32.78 / 100), 9)</f>
      </c>
      <c r="I102" s="19" t="str">
        <f>ROUND(F102 * h102, 9)</f>
      </c>
      <c r="J102" s="20" t="str">
        <f>i102 / 1181066.0424007571906268</f>
      </c>
    </row>
    <row customHeight="1" ht="26" r="103">
      <c r="A103" s="16" t="inlineStr">
        <is>
          <t> 2.9.1.31 </t>
        </is>
      </c>
      <c r="B103" s="18" t="inlineStr">
        <is>
          <t> 060036 </t>
        </is>
      </c>
      <c r="C103" s="16" t="inlineStr">
        <is>
          <t>SBC</t>
        </is>
      </c>
      <c r="D103" s="16" t="inlineStr">
        <is>
          <t>LUMINARIA PRISMATICA 12" PENDENTE ALUMINIO RJ-LP012  (INCLUSIVE LÂMPADA)</t>
        </is>
      </c>
      <c r="E103" s="17" t="inlineStr">
        <is>
          <t>UN</t>
        </is>
      </c>
      <c r="F103" s="18" t="n">
        <v>3.0</v>
      </c>
      <c r="G103" s="19" t="n">
        <v>120.51716</v>
      </c>
      <c r="H103" s="19" t="str">
        <f>ROUND(G103 * (1 + 32.78 / 100), 9)</f>
      </c>
      <c r="I103" s="19" t="str">
        <f>ROUND(F103 * h103, 9)</f>
      </c>
      <c r="J103" s="20" t="str">
        <f>i103 / 1181066.0424007571906268</f>
      </c>
    </row>
    <row customHeight="1" ht="39" r="104">
      <c r="A104" s="16" t="inlineStr">
        <is>
          <t> 2.9.1.32 </t>
        </is>
      </c>
      <c r="B104" s="18" t="inlineStr">
        <is>
          <t> 97607 </t>
        </is>
      </c>
      <c r="C104" s="16" t="inlineStr">
        <is>
          <t>SINAPI</t>
        </is>
      </c>
      <c r="D104" s="16" t="inlineStr">
        <is>
          <t>LUMINÁRIA ARANDELA TIPO TARTARUGA, DE SOBREPOR, COM 1 LÂMPADA LED DE 12 W, SEM REATOR - FORNECIMENTO E INSTALAÇÃO. AF_02/2020  (INCLUSIVE LÂMPADA)</t>
        </is>
      </c>
      <c r="E104" s="17" t="inlineStr">
        <is>
          <t>UN</t>
        </is>
      </c>
      <c r="F104" s="18" t="n">
        <v>6.0</v>
      </c>
      <c r="G104" s="19" t="n">
        <v>113.897741395</v>
      </c>
      <c r="H104" s="19" t="str">
        <f>ROUND(G104 * (1 + 32.78 / 100), 9)</f>
      </c>
      <c r="I104" s="19" t="str">
        <f>ROUND(F104 * h104, 9)</f>
      </c>
      <c r="J104" s="20" t="str">
        <f>i104 / 1181066.0424007571906268</f>
      </c>
    </row>
    <row customHeight="1" ht="52" r="105">
      <c r="A105" s="16" t="inlineStr">
        <is>
          <t> 2.9.1.33 </t>
        </is>
      </c>
      <c r="B105" s="18" t="inlineStr">
        <is>
          <t> 101880 </t>
        </is>
      </c>
      <c r="C105" s="16" t="inlineStr">
        <is>
          <t>SINAPI</t>
        </is>
      </c>
      <c r="D105" s="16" t="inlineStr">
        <is>
          <t>QUADRO DE DISTRIBUIÇÃO DE ENERGIA EM CHAPA DE AÇO GALVANIZADO, DE EMBUTIR, COM BARRAMENTO TRIFÁSICO, PARA 30 DISJUNTORES DIN 150A - FORNECIMENTO E INSTALAÇÃO. AF_10/2020</t>
        </is>
      </c>
      <c r="E105" s="17" t="inlineStr">
        <is>
          <t>UN</t>
        </is>
      </c>
      <c r="F105" s="18" t="n">
        <v>1.0</v>
      </c>
      <c r="G105" s="19" t="n">
        <v>756.022616666</v>
      </c>
      <c r="H105" s="19" t="str">
        <f>ROUND(G105 * (1 + 32.78 / 100), 9)</f>
      </c>
      <c r="I105" s="19" t="str">
        <f>ROUND(F105 * h105, 9)</f>
      </c>
      <c r="J105" s="20" t="str">
        <f>i105 / 1181066.0424007571906268</f>
      </c>
    </row>
    <row customHeight="1" ht="26" r="106">
      <c r="A106" s="16" t="inlineStr">
        <is>
          <t> 2.9.1.34 </t>
        </is>
      </c>
      <c r="B106" s="18" t="inlineStr">
        <is>
          <t> 93655 </t>
        </is>
      </c>
      <c r="C106" s="16" t="inlineStr">
        <is>
          <t>SINAPI</t>
        </is>
      </c>
      <c r="D106" s="16" t="inlineStr">
        <is>
          <t>DISJUNTOR MONOPOLAR TIPO DIN, CORRENTE NOMINAL DE 20A - FORNECIMENTO E INSTALAÇÃO. AF_10/2020</t>
        </is>
      </c>
      <c r="E106" s="17" t="inlineStr">
        <is>
          <t>UN</t>
        </is>
      </c>
      <c r="F106" s="18" t="n">
        <v>12.0</v>
      </c>
      <c r="G106" s="19" t="n">
        <v>13.914278903</v>
      </c>
      <c r="H106" s="19" t="str">
        <f>ROUND(G106 * (1 + 32.78 / 100), 9)</f>
      </c>
      <c r="I106" s="19" t="str">
        <f>ROUND(F106 * h106, 9)</f>
      </c>
      <c r="J106" s="20" t="str">
        <f>i106 / 1181066.0424007571906268</f>
      </c>
    </row>
    <row customHeight="1" ht="26" r="107">
      <c r="A107" s="16" t="inlineStr">
        <is>
          <t> 2.9.1.35 </t>
        </is>
      </c>
      <c r="B107" s="18" t="inlineStr">
        <is>
          <t> 93663 </t>
        </is>
      </c>
      <c r="C107" s="16" t="inlineStr">
        <is>
          <t>SINAPI</t>
        </is>
      </c>
      <c r="D107" s="16" t="inlineStr">
        <is>
          <t>DISJUNTOR BIPOLAR TIPO DIN, CORRENTE NOMINAL DE 25A - FORNECIMENTO E INSTALAÇÃO. AF_10/2020</t>
        </is>
      </c>
      <c r="E107" s="17" t="inlineStr">
        <is>
          <t>UN</t>
        </is>
      </c>
      <c r="F107" s="18" t="n">
        <v>3.0</v>
      </c>
      <c r="G107" s="19" t="n">
        <v>63.844358289</v>
      </c>
      <c r="H107" s="19" t="str">
        <f>ROUND(G107 * (1 + 32.78 / 100), 9)</f>
      </c>
      <c r="I107" s="19" t="str">
        <f>ROUND(F107 * h107, 9)</f>
      </c>
      <c r="J107" s="20" t="str">
        <f>i107 / 1181066.0424007571906268</f>
      </c>
    </row>
    <row customHeight="1" ht="26" r="108">
      <c r="A108" s="16" t="inlineStr">
        <is>
          <t> 2.9.1.36 </t>
        </is>
      </c>
      <c r="B108" s="18" t="inlineStr">
        <is>
          <t> 93664 </t>
        </is>
      </c>
      <c r="C108" s="16" t="inlineStr">
        <is>
          <t>SINAPI</t>
        </is>
      </c>
      <c r="D108" s="16" t="inlineStr">
        <is>
          <t>DISJUNTOR BIPOLAR TIPO DIN, CORRENTE NOMINAL DE 32A - FORNECIMENTO E INSTALAÇÃO. AF_10/2020</t>
        </is>
      </c>
      <c r="E108" s="17" t="inlineStr">
        <is>
          <t>UN</t>
        </is>
      </c>
      <c r="F108" s="18" t="n">
        <v>2.0</v>
      </c>
      <c r="G108" s="19" t="n">
        <v>66.515717103</v>
      </c>
      <c r="H108" s="19" t="str">
        <f>ROUND(G108 * (1 + 32.78 / 100), 9)</f>
      </c>
      <c r="I108" s="19" t="str">
        <f>ROUND(F108 * h108, 9)</f>
      </c>
      <c r="J108" s="20" t="str">
        <f>i108 / 1181066.0424007571906268</f>
      </c>
    </row>
    <row customHeight="1" ht="26" r="109">
      <c r="A109" s="16" t="inlineStr">
        <is>
          <t> 2.9.1.37 </t>
        </is>
      </c>
      <c r="B109" s="18" t="inlineStr">
        <is>
          <t> 93673 </t>
        </is>
      </c>
      <c r="C109" s="16" t="inlineStr">
        <is>
          <t>SINAPI</t>
        </is>
      </c>
      <c r="D109" s="16" t="inlineStr">
        <is>
          <t>DISJUNTOR TRIPOLAR TIPO DIN, CORRENTE NOMINAL DE 50A - FORNECIMENTO E INSTALAÇÃO. AF_10/2020</t>
        </is>
      </c>
      <c r="E109" s="17" t="inlineStr">
        <is>
          <t>UN</t>
        </is>
      </c>
      <c r="F109" s="18" t="n">
        <v>1.0</v>
      </c>
      <c r="G109" s="19" t="n">
        <v>98.430650572</v>
      </c>
      <c r="H109" s="19" t="str">
        <f>ROUND(G109 * (1 + 32.78 / 100), 9)</f>
      </c>
      <c r="I109" s="19" t="str">
        <f>ROUND(F109 * h109, 9)</f>
      </c>
      <c r="J109" s="20" t="str">
        <f>i109 / 1181066.0424007571906268</f>
      </c>
    </row>
    <row customHeight="1" ht="39" r="110">
      <c r="A110" s="16" t="inlineStr">
        <is>
          <t> 2.9.1.38 </t>
        </is>
      </c>
      <c r="B110" s="18" t="inlineStr">
        <is>
          <t> 00000176 </t>
        </is>
      </c>
      <c r="C110" s="16" t="inlineStr">
        <is>
          <t>Próprio</t>
        </is>
      </c>
      <c r="D110" s="16" t="inlineStr">
        <is>
          <t>DISPOSITIVOS DE PROTEÇÃO CONTRA SURTOS (DPS) TETRAPOLAR, IN DESCARGA 20KA POR PÓLO, CLASSE I, GRAU DE PROTEÇÃO IP20, CONFORME IEC 61643-11</t>
        </is>
      </c>
      <c r="E110" s="17" t="inlineStr">
        <is>
          <t>Un</t>
        </is>
      </c>
      <c r="F110" s="18" t="n">
        <v>4.0</v>
      </c>
      <c r="G110" s="19" t="n">
        <v>260.8951569</v>
      </c>
      <c r="H110" s="19" t="str">
        <f>ROUND(G110 * (1 + 32.78 / 100), 9)</f>
      </c>
      <c r="I110" s="19" t="str">
        <f>ROUND(F110 * h110, 9)</f>
      </c>
      <c r="J110" s="20" t="str">
        <f>i110 / 1181066.0424007571906268</f>
      </c>
    </row>
    <row customHeight="1" ht="26" r="111">
      <c r="A111" s="16" t="inlineStr">
        <is>
          <t> 2.9.1.39 </t>
        </is>
      </c>
      <c r="B111" s="18" t="inlineStr">
        <is>
          <t> 064816 </t>
        </is>
      </c>
      <c r="C111" s="16" t="inlineStr">
        <is>
          <t>SBC</t>
        </is>
      </c>
      <c r="D111" s="16" t="inlineStr">
        <is>
          <t>DISPOSITIVO DIFERENCIAL DR ALTA SENSIB.(30mA) TETRAPOLAR 25A</t>
        </is>
      </c>
      <c r="E111" s="17" t="inlineStr">
        <is>
          <t>UN</t>
        </is>
      </c>
      <c r="F111" s="18" t="n">
        <v>1.0</v>
      </c>
      <c r="G111" s="19" t="n">
        <v>159.35508</v>
      </c>
      <c r="H111" s="19" t="str">
        <f>ROUND(G111 * (1 + 32.78 / 100), 9)</f>
      </c>
      <c r="I111" s="19" t="str">
        <f>ROUND(F111 * h111, 9)</f>
      </c>
      <c r="J111" s="20" t="str">
        <f>i111 / 1181066.0424007571906268</f>
      </c>
    </row>
    <row customHeight="1" ht="26" r="112">
      <c r="A112" s="16" t="inlineStr">
        <is>
          <t> 2.9.1.40 </t>
        </is>
      </c>
      <c r="B112" s="18" t="inlineStr">
        <is>
          <t> 96985 </t>
        </is>
      </c>
      <c r="C112" s="16" t="inlineStr">
        <is>
          <t>SINAPI</t>
        </is>
      </c>
      <c r="D112" s="16" t="inlineStr">
        <is>
          <t>HASTE DE ATERRAMENTO 5/8  PARA SPDA - FORNECIMENTO E INSTALAÇÃO. AF_12/2017</t>
        </is>
      </c>
      <c r="E112" s="17" t="inlineStr">
        <is>
          <t>UN</t>
        </is>
      </c>
      <c r="F112" s="18" t="n">
        <v>3.0</v>
      </c>
      <c r="G112" s="19" t="n">
        <v>83.451596974</v>
      </c>
      <c r="H112" s="19" t="str">
        <f>ROUND(G112 * (1 + 32.78 / 100), 9)</f>
      </c>
      <c r="I112" s="19" t="str">
        <f>ROUND(F112 * h112, 9)</f>
      </c>
      <c r="J112" s="20" t="str">
        <f>i112 / 1181066.0424007571906268</f>
      </c>
    </row>
    <row customHeight="1" ht="24" r="113">
      <c r="A113" s="16" t="inlineStr">
        <is>
          <t> 2.9.1.41 </t>
        </is>
      </c>
      <c r="B113" s="18" t="inlineStr">
        <is>
          <t> 00000226 </t>
        </is>
      </c>
      <c r="C113" s="16" t="inlineStr">
        <is>
          <t>Próprio</t>
        </is>
      </c>
      <c r="D113" s="16" t="inlineStr">
        <is>
          <t>PONTO DE ANTENA P/ TV (C/ FIAÇÃO)</t>
        </is>
      </c>
      <c r="E113" s="17" t="inlineStr">
        <is>
          <t>PT</t>
        </is>
      </c>
      <c r="F113" s="18" t="n">
        <v>4.0</v>
      </c>
      <c r="G113" s="19" t="n">
        <v>202.6929128</v>
      </c>
      <c r="H113" s="19" t="str">
        <f>ROUND(G113 * (1 + 32.78 / 100), 9)</f>
      </c>
      <c r="I113" s="19" t="str">
        <f>ROUND(F113 * h113, 9)</f>
      </c>
      <c r="J113" s="20" t="str">
        <f>i113 / 1181066.0424007571906268</f>
      </c>
    </row>
    <row customHeight="1" ht="24" r="114">
      <c r="A114" s="8" t="inlineStr">
        <is>
          <t> 2.9.2 </t>
        </is>
      </c>
      <c r="B114" s="8"/>
      <c r="C114" s="8"/>
      <c r="D114" s="8" t="inlineStr">
        <is>
          <t>Hidrossanitária</t>
        </is>
      </c>
      <c r="E114" s="8"/>
      <c r="F114" s="10"/>
      <c r="G114" s="8"/>
      <c r="H114" s="8"/>
      <c r="I114" s="11" t="n">
        <v>27606.628525220214</v>
      </c>
      <c r="J114" s="12" t="str">
        <f>i114 / 1181066.0424007571906268</f>
      </c>
    </row>
    <row customHeight="1" ht="24" r="115">
      <c r="A115" s="8" t="inlineStr">
        <is>
          <t> 2.9.2.1 </t>
        </is>
      </c>
      <c r="B115" s="8"/>
      <c r="C115" s="8"/>
      <c r="D115" s="8" t="inlineStr">
        <is>
          <t>Água fria</t>
        </is>
      </c>
      <c r="E115" s="8"/>
      <c r="F115" s="10"/>
      <c r="G115" s="8"/>
      <c r="H115" s="8"/>
      <c r="I115" s="11" t="n">
        <v>3767.3014695201023</v>
      </c>
      <c r="J115" s="12" t="str">
        <f>i115 / 1181066.0424007571906268</f>
      </c>
    </row>
    <row customHeight="1" ht="65" r="116">
      <c r="A116" s="16" t="inlineStr">
        <is>
          <t> 2.9.2.1.1 </t>
        </is>
      </c>
      <c r="B116" s="18" t="inlineStr">
        <is>
          <t> 94703 </t>
        </is>
      </c>
      <c r="C116" s="16" t="inlineStr">
        <is>
          <t>SINAPI</t>
        </is>
      </c>
      <c r="D116" s="16" t="inlineStr">
        <is>
          <t>ADAPTADOR COM FLANGE E ANEL DE VEDAÇÃO, PVC, SOLDÁVEL, DN  25 MM X 3/4 , INSTALADO EM RESERVAÇÃO DE ÁGUA DE EDIFICAÇÃO QUE POSSUA RESERVATÓRIO DE FIBRA/FIBROCIMENTO   FORNECIMENTO E INSTALAÇÃO. AF_06/2016</t>
        </is>
      </c>
      <c r="E116" s="17" t="inlineStr">
        <is>
          <t>UN</t>
        </is>
      </c>
      <c r="F116" s="18" t="n">
        <v>7.0</v>
      </c>
      <c r="G116" s="19" t="n">
        <v>18.097857192</v>
      </c>
      <c r="H116" s="19" t="str">
        <f>ROUND(G116 * (1 + 32.78 / 100), 9)</f>
      </c>
      <c r="I116" s="19" t="str">
        <f>ROUND(F116 * h116, 9)</f>
      </c>
      <c r="J116" s="20" t="str">
        <f>i116 / 1181066.0424007571906268</f>
      </c>
    </row>
    <row customHeight="1" ht="39" r="117">
      <c r="A117" s="16" t="inlineStr">
        <is>
          <t> 2.9.2.1.2 </t>
        </is>
      </c>
      <c r="B117" s="18" t="inlineStr">
        <is>
          <t> 89481 </t>
        </is>
      </c>
      <c r="C117" s="16" t="inlineStr">
        <is>
          <t>SINAPI</t>
        </is>
      </c>
      <c r="D117" s="16" t="inlineStr">
        <is>
          <t>JOELHO 90 GRAUS, PVC, SOLDÁVEL, DN 25MM, INSTALADO EM PRUMADA DE ÁGUA - FORNECIMENTO E INSTALAÇÃO. AF_12/2014</t>
        </is>
      </c>
      <c r="E117" s="17" t="inlineStr">
        <is>
          <t>UN</t>
        </is>
      </c>
      <c r="F117" s="18" t="n">
        <v>10.0</v>
      </c>
      <c r="G117" s="19" t="n">
        <v>4.278759498</v>
      </c>
      <c r="H117" s="19" t="str">
        <f>ROUND(G117 * (1 + 32.78 / 100), 9)</f>
      </c>
      <c r="I117" s="19" t="str">
        <f>ROUND(F117 * h117, 9)</f>
      </c>
      <c r="J117" s="20" t="str">
        <f>i117 / 1181066.0424007571906268</f>
      </c>
    </row>
    <row customHeight="1" ht="39" r="118">
      <c r="A118" s="16" t="inlineStr">
        <is>
          <t> 2.9.2.1.3 </t>
        </is>
      </c>
      <c r="B118" s="18" t="inlineStr">
        <is>
          <t> 90373 </t>
        </is>
      </c>
      <c r="C118" s="16" t="inlineStr">
        <is>
          <t>SINAPI</t>
        </is>
      </c>
      <c r="D118" s="16" t="inlineStr">
        <is>
          <t>JOELHO 90 GRAUS COM BUCHA DE LATÃO, PVC, SOLDÁVEL, DN 25MM, X 1/2 INSTALADO EM RAMAL OU SUB-RAMAL DE ÁGUA - FORNECIMENTO E INSTALAÇÃO. AF_12/2014</t>
        </is>
      </c>
      <c r="E118" s="17" t="inlineStr">
        <is>
          <t>UN</t>
        </is>
      </c>
      <c r="F118" s="18" t="n">
        <v>11.0</v>
      </c>
      <c r="G118" s="19" t="n">
        <v>10.789062526</v>
      </c>
      <c r="H118" s="19" t="str">
        <f>ROUND(G118 * (1 + 32.78 / 100), 9)</f>
      </c>
      <c r="I118" s="19" t="str">
        <f>ROUND(F118 * h118, 9)</f>
      </c>
      <c r="J118" s="20" t="str">
        <f>i118 / 1181066.0424007571906268</f>
      </c>
    </row>
    <row customHeight="1" ht="26" r="119">
      <c r="A119" s="16" t="inlineStr">
        <is>
          <t> 2.9.2.1.4 </t>
        </is>
      </c>
      <c r="B119" s="18" t="inlineStr">
        <is>
          <t> 89617 </t>
        </is>
      </c>
      <c r="C119" s="16" t="inlineStr">
        <is>
          <t>SINAPI</t>
        </is>
      </c>
      <c r="D119" s="16" t="inlineStr">
        <is>
          <t>TE, PVC, SOLDÁVEL, DN 25MM, INSTALADO EM PRUMADA DE ÁGUA - FORNECIMENTO E INSTALAÇÃO. AF_12/2014</t>
        </is>
      </c>
      <c r="E119" s="17" t="inlineStr">
        <is>
          <t>UN</t>
        </is>
      </c>
      <c r="F119" s="18" t="n">
        <v>7.0</v>
      </c>
      <c r="G119" s="19" t="n">
        <v>6.068062153</v>
      </c>
      <c r="H119" s="19" t="str">
        <f>ROUND(G119 * (1 + 32.78 / 100), 9)</f>
      </c>
      <c r="I119" s="19" t="str">
        <f>ROUND(F119 * h119, 9)</f>
      </c>
      <c r="J119" s="20" t="str">
        <f>i119 / 1181066.0424007571906268</f>
      </c>
    </row>
    <row customHeight="1" ht="65" r="120">
      <c r="A120" s="16" t="inlineStr">
        <is>
          <t> 2.9.2.1.5 </t>
        </is>
      </c>
      <c r="B120" s="18" t="inlineStr">
        <is>
          <t> 94689 </t>
        </is>
      </c>
      <c r="C120" s="16" t="inlineStr">
        <is>
          <t>SINAPI</t>
        </is>
      </c>
      <c r="D120" s="16" t="inlineStr">
        <is>
          <t>TÊ COM BUCHA DE LATÃO NA BOLSA CENTRAL, PVC, SOLDÁVEL, DN  25 MM X 3/4 , INSTALADO EM RESERVAÇÃO DE ÁGUA DE EDIFICAÇÃO QUE POSSUA RESERVATÓRIO DE FIBRA/FIBROCIMENTO   FORNECIMENTO E INSTALAÇÃO. AF_06/2016</t>
        </is>
      </c>
      <c r="E120" s="17" t="inlineStr">
        <is>
          <t>UN</t>
        </is>
      </c>
      <c r="F120" s="18" t="n">
        <v>3.0</v>
      </c>
      <c r="G120" s="19" t="n">
        <v>11.974260173</v>
      </c>
      <c r="H120" s="19" t="str">
        <f>ROUND(G120 * (1 + 32.78 / 100), 9)</f>
      </c>
      <c r="I120" s="19" t="str">
        <f>ROUND(F120 * h120, 9)</f>
      </c>
      <c r="J120" s="20" t="str">
        <f>i120 / 1181066.0424007571906268</f>
      </c>
    </row>
    <row customHeight="1" ht="39" r="121">
      <c r="A121" s="16" t="inlineStr">
        <is>
          <t> 2.9.2.1.6 </t>
        </is>
      </c>
      <c r="B121" s="18" t="inlineStr">
        <is>
          <t> 96704 </t>
        </is>
      </c>
      <c r="C121" s="16" t="inlineStr">
        <is>
          <t>SINAPI</t>
        </is>
      </c>
      <c r="D121" s="16" t="inlineStr">
        <is>
          <t>BUCHA DE REDUÇÃO, PPR, 40 X 25, CLASSE PN 25, INSTALADO EM PRUMADA DE ÁGUA  FORNECIMENTO E INSTALAÇÃO . AF_06/2015</t>
        </is>
      </c>
      <c r="E121" s="17" t="inlineStr">
        <is>
          <t>UN</t>
        </is>
      </c>
      <c r="F121" s="18" t="n">
        <v>1.0</v>
      </c>
      <c r="G121" s="19" t="n">
        <v>17.391979635</v>
      </c>
      <c r="H121" s="19" t="str">
        <f>ROUND(G121 * (1 + 32.78 / 100), 9)</f>
      </c>
      <c r="I121" s="19" t="str">
        <f>ROUND(F121 * h121, 9)</f>
      </c>
      <c r="J121" s="20" t="str">
        <f>i121 / 1181066.0424007571906268</f>
      </c>
    </row>
    <row customHeight="1" ht="65" r="122">
      <c r="A122" s="16" t="inlineStr">
        <is>
          <t> 2.9.2.1.7 </t>
        </is>
      </c>
      <c r="B122" s="18" t="inlineStr">
        <is>
          <t> 91785 </t>
        </is>
      </c>
      <c r="C122" s="16" t="inlineStr">
        <is>
          <t>SINAPI</t>
        </is>
      </c>
      <c r="D122" s="16" t="inlineStr">
        <is>
          <t>(COMPOSIÇÃO REPRESENTATIVA) DO SERVIÇO DE INSTALAÇÃO DE TUBOS DE PVC, SOLDÁVEL, ÁGUA FRIA, DN 25 MM (INSTALADO EM RAMAL, SUB-RAMAL, RAMAL DE DISTRIBUIÇÃO OU PRUMADA), INCLUSIVE CONEXÕES, CORTES E FIXAÇÕES, PARA PRÉDIOS. AF_10/2015</t>
        </is>
      </c>
      <c r="E122" s="17" t="inlineStr">
        <is>
          <t>M</t>
        </is>
      </c>
      <c r="F122" s="18" t="n">
        <v>43.05</v>
      </c>
      <c r="G122" s="19" t="n">
        <v>36.496729158</v>
      </c>
      <c r="H122" s="19" t="str">
        <f>ROUND(G122 * (1 + 32.78 / 100), 9)</f>
      </c>
      <c r="I122" s="19" t="str">
        <f>ROUND(F122 * h122, 9)</f>
      </c>
      <c r="J122" s="20" t="str">
        <f>i122 / 1181066.0424007571906268</f>
      </c>
    </row>
    <row customHeight="1" ht="52" r="123">
      <c r="A123" s="16" t="inlineStr">
        <is>
          <t> 2.9.2.1.8 </t>
        </is>
      </c>
      <c r="B123" s="18" t="inlineStr">
        <is>
          <t> 91787 </t>
        </is>
      </c>
      <c r="C123" s="16" t="inlineStr">
        <is>
          <t>SINAPI</t>
        </is>
      </c>
      <c r="D123" s="16" t="inlineStr">
        <is>
          <t>(COMPOSIÇÃO REPRESENTATIVA) DO SERVIÇO DE INSTALAÇÃO DE TUBOS DE PVC, SOLDÁVEL, ÁGUA FRIA, DN 40 MM (INSTALADO EM PRUMADA), INCLUSIVE CONEXÕES, CORTES E FIXAÇÕES, PARA PRÉDIOS. AF_10/2015</t>
        </is>
      </c>
      <c r="E123" s="17" t="inlineStr">
        <is>
          <t>M</t>
        </is>
      </c>
      <c r="F123" s="18" t="n">
        <v>7.0</v>
      </c>
      <c r="G123" s="19" t="n">
        <v>30.407059231</v>
      </c>
      <c r="H123" s="19" t="str">
        <f>ROUND(G123 * (1 + 32.78 / 100), 9)</f>
      </c>
      <c r="I123" s="19" t="str">
        <f>ROUND(F123 * h123, 9)</f>
      </c>
      <c r="J123" s="20" t="str">
        <f>i123 / 1181066.0424007571906268</f>
      </c>
    </row>
    <row customHeight="1" ht="39" r="124">
      <c r="A124" s="16" t="inlineStr">
        <is>
          <t> 2.9.2.1.9 </t>
        </is>
      </c>
      <c r="B124" s="18" t="inlineStr">
        <is>
          <t> 89987 </t>
        </is>
      </c>
      <c r="C124" s="16" t="inlineStr">
        <is>
          <t>SINAPI</t>
        </is>
      </c>
      <c r="D124" s="16" t="inlineStr">
        <is>
          <t>REGISTRO DE GAVETA BRUTO, LATÃO, ROSCÁVEL, 3/4", COM ACABAMENTO E CANOPLA CROMADOS. FORNECIDO E INSTALADO EM RAMAL DE ÁGUA. AF_12/2014</t>
        </is>
      </c>
      <c r="E124" s="17" t="inlineStr">
        <is>
          <t>UN</t>
        </is>
      </c>
      <c r="F124" s="18" t="n">
        <v>4.0</v>
      </c>
      <c r="G124" s="19" t="n">
        <v>97.783372756</v>
      </c>
      <c r="H124" s="19" t="str">
        <f>ROUND(G124 * (1 + 32.78 / 100), 9)</f>
      </c>
      <c r="I124" s="19" t="str">
        <f>ROUND(F124 * h124, 9)</f>
      </c>
      <c r="J124" s="20" t="str">
        <f>i124 / 1181066.0424007571906268</f>
      </c>
    </row>
    <row customHeight="1" ht="39" r="125">
      <c r="A125" s="16" t="inlineStr">
        <is>
          <t> 2.9.2.1.10 </t>
        </is>
      </c>
      <c r="B125" s="18" t="inlineStr">
        <is>
          <t> 89985 </t>
        </is>
      </c>
      <c r="C125" s="16" t="inlineStr">
        <is>
          <t>SINAPI</t>
        </is>
      </c>
      <c r="D125" s="16" t="inlineStr">
        <is>
          <t>REGISTRO DE PRESSÃO BRUTO, LATÃO, ROSCÁVEL, 3/4", COM ACABAMENTO E CANOPLA CROMADOS. FORNECIDO E INSTALADO EM RAMAL DE ÁGUA. AF_12/2014</t>
        </is>
      </c>
      <c r="E125" s="17" t="inlineStr">
        <is>
          <t>UN</t>
        </is>
      </c>
      <c r="F125" s="18" t="n">
        <v>3.0</v>
      </c>
      <c r="G125" s="19" t="n">
        <v>92.713372756</v>
      </c>
      <c r="H125" s="19" t="str">
        <f>ROUND(G125 * (1 + 32.78 / 100), 9)</f>
      </c>
      <c r="I125" s="19" t="str">
        <f>ROUND(F125 * h125, 9)</f>
      </c>
      <c r="J125" s="20" t="str">
        <f>i125 / 1181066.0424007571906268</f>
      </c>
    </row>
    <row customHeight="1" ht="24" r="126">
      <c r="A126" s="8" t="inlineStr">
        <is>
          <t> 2.9.2.2 </t>
        </is>
      </c>
      <c r="B126" s="8"/>
      <c r="C126" s="8"/>
      <c r="D126" s="8" t="inlineStr">
        <is>
          <t>Esgoto e drenagem</t>
        </is>
      </c>
      <c r="E126" s="8"/>
      <c r="F126" s="10"/>
      <c r="G126" s="8"/>
      <c r="H126" s="8"/>
      <c r="I126" s="11" t="n">
        <v>23839.32705570011</v>
      </c>
      <c r="J126" s="12" t="str">
        <f>i126 / 1181066.0424007571906268</f>
      </c>
    </row>
    <row customHeight="1" ht="52" r="127">
      <c r="A127" s="16" t="inlineStr">
        <is>
          <t> 2.9.2.2.1 </t>
        </is>
      </c>
      <c r="B127" s="18" t="inlineStr">
        <is>
          <t> 89744 </t>
        </is>
      </c>
      <c r="C127" s="16" t="inlineStr">
        <is>
          <t>SINAPI</t>
        </is>
      </c>
      <c r="D127" s="16" t="inlineStr">
        <is>
          <t>JOELHO 90 GRAUS, PVC, SERIE NORMAL, ESGOTO PREDIAL, DN 100 MM, JUNTA ELÁSTICA, FORNECIDO E INSTALADO EM RAMAL DE DESCARGA OU RAMAL DE ESGOTO SANITÁRIO. AF_12/2014</t>
        </is>
      </c>
      <c r="E127" s="17" t="inlineStr">
        <is>
          <t>UN</t>
        </is>
      </c>
      <c r="F127" s="18" t="n">
        <v>2.0</v>
      </c>
      <c r="G127" s="19" t="n">
        <v>25.515137832</v>
      </c>
      <c r="H127" s="19" t="str">
        <f>ROUND(G127 * (1 + 32.78 / 100), 9)</f>
      </c>
      <c r="I127" s="19" t="str">
        <f>ROUND(F127 * h127, 9)</f>
      </c>
      <c r="J127" s="20" t="str">
        <f>i127 / 1181066.0424007571906268</f>
      </c>
    </row>
    <row customHeight="1" ht="52" r="128">
      <c r="A128" s="16" t="inlineStr">
        <is>
          <t> 2.9.2.2.2 </t>
        </is>
      </c>
      <c r="B128" s="18" t="inlineStr">
        <is>
          <t> 89737 </t>
        </is>
      </c>
      <c r="C128" s="16" t="inlineStr">
        <is>
          <t>SINAPI</t>
        </is>
      </c>
      <c r="D128" s="16" t="inlineStr">
        <is>
          <t>JOELHO 90 GRAUS, PVC, SERIE NORMAL, ESGOTO PREDIAL, DN 75 MM, JUNTA ELÁSTICA, FORNECIDO E INSTALADO EM RAMAL DE DESCARGA OU RAMAL DE ESGOTO SANITÁRIO. AF_12/2014</t>
        </is>
      </c>
      <c r="E128" s="17" t="inlineStr">
        <is>
          <t>UN</t>
        </is>
      </c>
      <c r="F128" s="18" t="n">
        <v>2.0</v>
      </c>
      <c r="G128" s="19" t="n">
        <v>20.986749324</v>
      </c>
      <c r="H128" s="19" t="str">
        <f>ROUND(G128 * (1 + 32.78 / 100), 9)</f>
      </c>
      <c r="I128" s="19" t="str">
        <f>ROUND(F128 * h128, 9)</f>
      </c>
      <c r="J128" s="20" t="str">
        <f>i128 / 1181066.0424007571906268</f>
      </c>
    </row>
    <row customHeight="1" ht="52" r="129">
      <c r="A129" s="16" t="inlineStr">
        <is>
          <t> 2.9.2.2.3 </t>
        </is>
      </c>
      <c r="B129" s="18" t="inlineStr">
        <is>
          <t> 89731 </t>
        </is>
      </c>
      <c r="C129" s="16" t="inlineStr">
        <is>
          <t>SINAPI</t>
        </is>
      </c>
      <c r="D129" s="16" t="inlineStr">
        <is>
          <t>JOELHO 90 GRAUS, PVC, SERIE NORMAL, ESGOTO PREDIAL, DN 50 MM, JUNTA ELÁSTICA, FORNECIDO E INSTALADO EM RAMAL DE DESCARGA OU RAMAL DE ESGOTO SANITÁRIO. AF_12/2014</t>
        </is>
      </c>
      <c r="E129" s="17" t="inlineStr">
        <is>
          <t>UN</t>
        </is>
      </c>
      <c r="F129" s="18" t="n">
        <v>8.0</v>
      </c>
      <c r="G129" s="19" t="n">
        <v>13.638944351</v>
      </c>
      <c r="H129" s="19" t="str">
        <f>ROUND(G129 * (1 + 32.78 / 100), 9)</f>
      </c>
      <c r="I129" s="19" t="str">
        <f>ROUND(F129 * h129, 9)</f>
      </c>
      <c r="J129" s="20" t="str">
        <f>i129 / 1181066.0424007571906268</f>
      </c>
    </row>
    <row customHeight="1" ht="52" r="130">
      <c r="A130" s="16" t="inlineStr">
        <is>
          <t> 2.9.2.2.4 </t>
        </is>
      </c>
      <c r="B130" s="18" t="inlineStr">
        <is>
          <t> 89724 </t>
        </is>
      </c>
      <c r="C130" s="16" t="inlineStr">
        <is>
          <t>SINAPI</t>
        </is>
      </c>
      <c r="D130" s="16" t="inlineStr">
        <is>
          <t>JOELHO 90 GRAUS, PVC, SERIE NORMAL, ESGOTO PREDIAL, DN 40 MM, JUNTA SOLDÁVEL, FORNECIDO E INSTALADO EM RAMAL DE DESCARGA OU RAMAL DE ESGOTO SANITÁRIO. AF_12/2014</t>
        </is>
      </c>
      <c r="E130" s="17" t="inlineStr">
        <is>
          <t>UN</t>
        </is>
      </c>
      <c r="F130" s="18" t="n">
        <v>4.0</v>
      </c>
      <c r="G130" s="19" t="n">
        <v>8.356722069</v>
      </c>
      <c r="H130" s="19" t="str">
        <f>ROUND(G130 * (1 + 32.78 / 100), 9)</f>
      </c>
      <c r="I130" s="19" t="str">
        <f>ROUND(F130 * h130, 9)</f>
      </c>
      <c r="J130" s="20" t="str">
        <f>i130 / 1181066.0424007571906268</f>
      </c>
    </row>
    <row customHeight="1" ht="52" r="131">
      <c r="A131" s="16" t="inlineStr">
        <is>
          <t> 2.9.2.2.5 </t>
        </is>
      </c>
      <c r="B131" s="18" t="inlineStr">
        <is>
          <t> 89732 </t>
        </is>
      </c>
      <c r="C131" s="16" t="inlineStr">
        <is>
          <t>SINAPI</t>
        </is>
      </c>
      <c r="D131" s="16" t="inlineStr">
        <is>
          <t>JOELHO 45 GRAUS, PVC, SERIE NORMAL, ESGOTO PREDIAL, DN 50 MM, JUNTA ELÁSTICA, FORNECIDO E INSTALADO EM RAMAL DE DESCARGA OU RAMAL DE ESGOTO SANITÁRIO. AF_12/2014</t>
        </is>
      </c>
      <c r="E131" s="17" t="inlineStr">
        <is>
          <t>UN</t>
        </is>
      </c>
      <c r="F131" s="18" t="n">
        <v>2.0</v>
      </c>
      <c r="G131" s="19" t="n">
        <v>14.328944351</v>
      </c>
      <c r="H131" s="19" t="str">
        <f>ROUND(G131 * (1 + 32.78 / 100), 9)</f>
      </c>
      <c r="I131" s="19" t="str">
        <f>ROUND(F131 * h131, 9)</f>
      </c>
      <c r="J131" s="20" t="str">
        <f>i131 / 1181066.0424007571906268</f>
      </c>
    </row>
    <row customHeight="1" ht="52" r="132">
      <c r="A132" s="16" t="inlineStr">
        <is>
          <t> 2.9.2.2.6 </t>
        </is>
      </c>
      <c r="B132" s="18" t="inlineStr">
        <is>
          <t> 89785 </t>
        </is>
      </c>
      <c r="C132" s="16" t="inlineStr">
        <is>
          <t>SINAPI</t>
        </is>
      </c>
      <c r="D132" s="16" t="inlineStr">
        <is>
          <t>JUNÇÃO SIMPLES, PVC, SERIE NORMAL, ESGOTO PREDIAL, DN 50 X 50 MM, JUNTA ELÁSTICA, FORNECIDO E INSTALADO EM RAMAL DE DESCARGA OU RAMAL DE ESGOTO SANITÁRIO. AF_12/2014</t>
        </is>
      </c>
      <c r="E132" s="17" t="inlineStr">
        <is>
          <t>UN</t>
        </is>
      </c>
      <c r="F132" s="18" t="n">
        <v>2.0</v>
      </c>
      <c r="G132" s="19" t="n">
        <v>24.583620313</v>
      </c>
      <c r="H132" s="19" t="str">
        <f>ROUND(G132 * (1 + 32.78 / 100), 9)</f>
      </c>
      <c r="I132" s="19" t="str">
        <f>ROUND(F132 * h132, 9)</f>
      </c>
      <c r="J132" s="20" t="str">
        <f>i132 / 1181066.0424007571906268</f>
      </c>
    </row>
    <row customHeight="1" ht="52" r="133">
      <c r="A133" s="16" t="inlineStr">
        <is>
          <t> 2.9.2.2.7 </t>
        </is>
      </c>
      <c r="B133" s="18" t="inlineStr">
        <is>
          <t> 89786 </t>
        </is>
      </c>
      <c r="C133" s="16" t="inlineStr">
        <is>
          <t>SINAPI</t>
        </is>
      </c>
      <c r="D133" s="16" t="inlineStr">
        <is>
          <t>TE, PVC, SERIE NORMAL, ESGOTO PREDIAL, DN 75 X 75 MM, JUNTA ELÁSTICA, FORNECIDO E INSTALADO EM RAMAL DE DESCARGA OU RAMAL DE ESGOTO SANITÁRIO. AF_12/2014</t>
        </is>
      </c>
      <c r="E133" s="17" t="inlineStr">
        <is>
          <t>UN</t>
        </is>
      </c>
      <c r="F133" s="18" t="n">
        <v>4.0</v>
      </c>
      <c r="G133" s="19" t="n">
        <v>36.290901944</v>
      </c>
      <c r="H133" s="19" t="str">
        <f>ROUND(G133 * (1 + 32.78 / 100), 9)</f>
      </c>
      <c r="I133" s="19" t="str">
        <f>ROUND(F133 * h133, 9)</f>
      </c>
      <c r="J133" s="20" t="str">
        <f>i133 / 1181066.0424007571906268</f>
      </c>
    </row>
    <row customHeight="1" ht="26" r="134">
      <c r="A134" s="16" t="inlineStr">
        <is>
          <t> 2.9.2.2.8 </t>
        </is>
      </c>
      <c r="B134" s="18" t="inlineStr">
        <is>
          <t> 7594 </t>
        </is>
      </c>
      <c r="C134" s="16" t="inlineStr">
        <is>
          <t>ORSE</t>
        </is>
      </c>
      <c r="D134" s="16" t="inlineStr">
        <is>
          <t>TERMINAL DE VENTILAÇÃO EM PVC RÍGIDO SOLDÁVEL, PARA ESGOTO PRIMÁRIO, DIÂM = 75MM</t>
        </is>
      </c>
      <c r="E134" s="17" t="inlineStr">
        <is>
          <t>un</t>
        </is>
      </c>
      <c r="F134" s="18" t="n">
        <v>1.0</v>
      </c>
      <c r="G134" s="19" t="n">
        <v>20.42787226</v>
      </c>
      <c r="H134" s="19" t="str">
        <f>ROUND(G134 * (1 + 32.78 / 100), 9)</f>
      </c>
      <c r="I134" s="19" t="str">
        <f>ROUND(F134 * h134, 9)</f>
      </c>
      <c r="J134" s="20" t="str">
        <f>i134 / 1181066.0424007571906268</f>
      </c>
    </row>
    <row customHeight="1" ht="39" r="135">
      <c r="A135" s="16" t="inlineStr">
        <is>
          <t> 2.9.2.2.9 </t>
        </is>
      </c>
      <c r="B135" s="18" t="inlineStr">
        <is>
          <t> 89714 </t>
        </is>
      </c>
      <c r="C135" s="16" t="inlineStr">
        <is>
          <t>SINAPI</t>
        </is>
      </c>
      <c r="D135" s="16" t="inlineStr">
        <is>
          <t>TUBO PVC, SERIE NORMAL, ESGOTO PREDIAL, DN 100 MM, FORNECIDO E INSTALADO EM RAMAL DE DESCARGA OU RAMAL DE ESGOTO SANITÁRIO. AF_12/2014</t>
        </is>
      </c>
      <c r="E135" s="17" t="inlineStr">
        <is>
          <t>M</t>
        </is>
      </c>
      <c r="F135" s="18" t="n">
        <v>26.15</v>
      </c>
      <c r="G135" s="19" t="n">
        <v>32.026223207</v>
      </c>
      <c r="H135" s="19" t="str">
        <f>ROUND(G135 * (1 + 32.78 / 100), 9)</f>
      </c>
      <c r="I135" s="19" t="str">
        <f>ROUND(F135 * h135, 9)</f>
      </c>
      <c r="J135" s="20" t="str">
        <f>i135 / 1181066.0424007571906268</f>
      </c>
    </row>
    <row customHeight="1" ht="39" r="136">
      <c r="A136" s="16" t="inlineStr">
        <is>
          <t> 2.9.2.2.10 </t>
        </is>
      </c>
      <c r="B136" s="18" t="inlineStr">
        <is>
          <t> 89713 </t>
        </is>
      </c>
      <c r="C136" s="16" t="inlineStr">
        <is>
          <t>SINAPI</t>
        </is>
      </c>
      <c r="D136" s="16" t="inlineStr">
        <is>
          <t>TUBO PVC, SERIE NORMAL, ESGOTO PREDIAL, DN 75 MM, FORNECIDO E INSTALADO EM RAMAL DE DESCARGA OU RAMAL DE ESGOTO SANITÁRIO. AF_12/2014</t>
        </is>
      </c>
      <c r="E136" s="17" t="inlineStr">
        <is>
          <t>M</t>
        </is>
      </c>
      <c r="F136" s="18" t="n">
        <v>44.55</v>
      </c>
      <c r="G136" s="19" t="n">
        <v>28.798083811</v>
      </c>
      <c r="H136" s="19" t="str">
        <f>ROUND(G136 * (1 + 32.78 / 100), 9)</f>
      </c>
      <c r="I136" s="19" t="str">
        <f>ROUND(F136 * h136, 9)</f>
      </c>
      <c r="J136" s="20" t="str">
        <f>i136 / 1181066.0424007571906268</f>
      </c>
    </row>
    <row customHeight="1" ht="39" r="137">
      <c r="A137" s="16" t="inlineStr">
        <is>
          <t> 2.9.2.2.11 </t>
        </is>
      </c>
      <c r="B137" s="18" t="inlineStr">
        <is>
          <t> 89712 </t>
        </is>
      </c>
      <c r="C137" s="16" t="inlineStr">
        <is>
          <t>SINAPI</t>
        </is>
      </c>
      <c r="D137" s="16" t="inlineStr">
        <is>
          <t>TUBO PVC, SERIE NORMAL, ESGOTO PREDIAL, DN 50 MM, FORNECIDO E INSTALADO EM RAMAL DE DESCARGA OU RAMAL DE ESGOTO SANITÁRIO. AF_12/2014</t>
        </is>
      </c>
      <c r="E137" s="17" t="inlineStr">
        <is>
          <t>M</t>
        </is>
      </c>
      <c r="F137" s="18" t="n">
        <v>29.55</v>
      </c>
      <c r="G137" s="19" t="n">
        <v>23.017086415</v>
      </c>
      <c r="H137" s="19" t="str">
        <f>ROUND(G137 * (1 + 32.78 / 100), 9)</f>
      </c>
      <c r="I137" s="19" t="str">
        <f>ROUND(F137 * h137, 9)</f>
      </c>
      <c r="J137" s="20" t="str">
        <f>i137 / 1181066.0424007571906268</f>
      </c>
    </row>
    <row customHeight="1" ht="39" r="138">
      <c r="A138" s="16" t="inlineStr">
        <is>
          <t> 2.9.2.2.12 </t>
        </is>
      </c>
      <c r="B138" s="18" t="inlineStr">
        <is>
          <t> 89711 </t>
        </is>
      </c>
      <c r="C138" s="16" t="inlineStr">
        <is>
          <t>SINAPI</t>
        </is>
      </c>
      <c r="D138" s="16" t="inlineStr">
        <is>
          <t>TUBO PVC, SERIE NORMAL, ESGOTO PREDIAL, DN 40 MM, FORNECIDO E INSTALADO EM RAMAL DE DESCARGA OU RAMAL DE ESGOTO SANITÁRIO. AF_12/2014</t>
        </is>
      </c>
      <c r="E138" s="17" t="inlineStr">
        <is>
          <t>M</t>
        </is>
      </c>
      <c r="F138" s="18" t="n">
        <v>11.2</v>
      </c>
      <c r="G138" s="19" t="n">
        <v>17.786257671</v>
      </c>
      <c r="H138" s="19" t="str">
        <f>ROUND(G138 * (1 + 32.78 / 100), 9)</f>
      </c>
      <c r="I138" s="19" t="str">
        <f>ROUND(F138 * h138, 9)</f>
      </c>
      <c r="J138" s="20" t="str">
        <f>i138 / 1181066.0424007571906268</f>
      </c>
    </row>
    <row customHeight="1" ht="39" r="139">
      <c r="A139" s="16" t="inlineStr">
        <is>
          <t> 2.9.2.2.13 </t>
        </is>
      </c>
      <c r="B139" s="18" t="inlineStr">
        <is>
          <t> 89707 </t>
        </is>
      </c>
      <c r="C139" s="16" t="inlineStr">
        <is>
          <t>SINAPI</t>
        </is>
      </c>
      <c r="D139" s="16" t="inlineStr">
        <is>
          <t>CAIXA SIFONADA, PVC, DN 100 X 100 X 50 MM, JUNTA ELÁSTICA, FORNECIDA E INSTALADA EM RAMAL DE DESCARGA OU EM RAMAL DE ESGOTO SANITÁRIO. AF_12/2014</t>
        </is>
      </c>
      <c r="E139" s="17" t="inlineStr">
        <is>
          <t>UN</t>
        </is>
      </c>
      <c r="F139" s="18" t="n">
        <v>5.0</v>
      </c>
      <c r="G139" s="19" t="n">
        <v>45.267304849</v>
      </c>
      <c r="H139" s="19" t="str">
        <f>ROUND(G139 * (1 + 32.78 / 100), 9)</f>
      </c>
      <c r="I139" s="19" t="str">
        <f>ROUND(F139 * h139, 9)</f>
      </c>
      <c r="J139" s="20" t="str">
        <f>i139 / 1181066.0424007571906268</f>
      </c>
    </row>
    <row customHeight="1" ht="24" r="140">
      <c r="A140" s="16" t="inlineStr">
        <is>
          <t> 2.9.2.2.14 </t>
        </is>
      </c>
      <c r="B140" s="18" t="inlineStr">
        <is>
          <t> 4883 </t>
        </is>
      </c>
      <c r="C140" s="16" t="inlineStr">
        <is>
          <t>ORSE</t>
        </is>
      </c>
      <c r="D140" s="16" t="inlineStr">
        <is>
          <t>CAIXA DE INSPEÇÃO 0.50 X 0.50 X 0.50M</t>
        </is>
      </c>
      <c r="E140" s="17" t="inlineStr">
        <is>
          <t>un</t>
        </is>
      </c>
      <c r="F140" s="18" t="n">
        <v>3.0</v>
      </c>
      <c r="G140" s="19" t="n">
        <v>635.839558789</v>
      </c>
      <c r="H140" s="19" t="str">
        <f>ROUND(G140 * (1 + 32.78 / 100), 9)</f>
      </c>
      <c r="I140" s="19" t="str">
        <f>ROUND(F140 * h140, 9)</f>
      </c>
      <c r="J140" s="20" t="str">
        <f>i140 / 1181066.0424007571906268</f>
      </c>
    </row>
    <row customHeight="1" ht="26" r="141">
      <c r="A141" s="16" t="inlineStr">
        <is>
          <t> 2.9.2.2.15 </t>
        </is>
      </c>
      <c r="B141" s="18" t="inlineStr">
        <is>
          <t> 8076 </t>
        </is>
      </c>
      <c r="C141" s="16" t="inlineStr">
        <is>
          <t>ORSE</t>
        </is>
      </c>
      <c r="D141" s="16" t="inlineStr">
        <is>
          <t>CAIXA DE PASSAGEM EM ALVENARIA DE TIJOLOS MACIÇOS ESP. = 0,12M,  DIM. INT. =  0.50 X 0.50 X 0.50M</t>
        </is>
      </c>
      <c r="E141" s="17" t="inlineStr">
        <is>
          <t>un</t>
        </is>
      </c>
      <c r="F141" s="18" t="n">
        <v>4.0</v>
      </c>
      <c r="G141" s="19" t="n">
        <v>317.898382076</v>
      </c>
      <c r="H141" s="19" t="str">
        <f>ROUND(G141 * (1 + 32.78 / 100), 9)</f>
      </c>
      <c r="I141" s="19" t="str">
        <f>ROUND(F141 * h141, 9)</f>
      </c>
      <c r="J141" s="20" t="str">
        <f>i141 / 1181066.0424007571906268</f>
      </c>
    </row>
    <row customHeight="1" ht="52" r="142">
      <c r="A142" s="16" t="inlineStr">
        <is>
          <t> 2.9.2.2.16 </t>
        </is>
      </c>
      <c r="B142" s="18" t="inlineStr">
        <is>
          <t> 98104 </t>
        </is>
      </c>
      <c r="C142" s="16" t="inlineStr">
        <is>
          <t>SINAPI</t>
        </is>
      </c>
      <c r="D142" s="16" t="inlineStr">
        <is>
          <t>CAIXA DE GORDURA SIMPLES (CAPACIDADE: 36L), RETANGULAR, EM ALVENARIA COM TIJOLOS CERÂMICOS MACIÇOS, DIMENSÕES INTERNAS = 0,2X0,4 M, ALTURA INTERNA = 0,8 M. AF_12/2020</t>
        </is>
      </c>
      <c r="E142" s="17" t="inlineStr">
        <is>
          <t>UN</t>
        </is>
      </c>
      <c r="F142" s="18" t="n">
        <v>1.0</v>
      </c>
      <c r="G142" s="19" t="n">
        <v>360.444237355</v>
      </c>
      <c r="H142" s="19" t="str">
        <f>ROUND(G142 * (1 + 32.78 / 100), 9)</f>
      </c>
      <c r="I142" s="19" t="str">
        <f>ROUND(F142 * h142, 9)</f>
      </c>
      <c r="J142" s="20" t="str">
        <f>i142 / 1181066.0424007571906268</f>
      </c>
    </row>
    <row customHeight="1" ht="78" r="143">
      <c r="A143" s="16" t="inlineStr">
        <is>
          <t> 2.9.2.2.17 </t>
        </is>
      </c>
      <c r="B143" s="18" t="inlineStr">
        <is>
          <t> 93350 </t>
        </is>
      </c>
      <c r="C143" s="16" t="inlineStr">
        <is>
          <t>SINAPI</t>
        </is>
      </c>
      <c r="D143" s="16" t="inlineStr">
        <is>
          <t>COLETOR PREDIAL DE ESGOTO, DA CAIXA ATÉ A REDE (DISTÂNCIA = 10 M, LARGURA DA VALA = 0,65 M), INCLUINDO ESCAVAÇÃO MANUAL, PREPARO DE FUNDO DE VALA E REATERRO MANUAL COM COMPACTAÇÃO MECANIZADA, TUBO PVC P/ REDE COLETORA ESGOTO JEI DN 100 MM E CONEXÕES - FORNECIMENTO E INSTALAÇÃO. AF_03/2016 - LIGAÇÃO A FOSSA EXISTENTE</t>
        </is>
      </c>
      <c r="E143" s="17" t="inlineStr">
        <is>
          <t>UN</t>
        </is>
      </c>
      <c r="F143" s="18" t="n">
        <v>1.0</v>
      </c>
      <c r="G143" s="19" t="n">
        <v>1079.834304518</v>
      </c>
      <c r="H143" s="19" t="str">
        <f>ROUND(G143 * (1 + 32.78 / 100), 9)</f>
      </c>
      <c r="I143" s="19" t="str">
        <f>ROUND(F143 * h143, 9)</f>
      </c>
      <c r="J143" s="20" t="str">
        <f>i143 / 1181066.0424007571906268</f>
      </c>
    </row>
    <row customHeight="1" ht="26" r="144">
      <c r="A144" s="16" t="inlineStr">
        <is>
          <t> 2.9.2.2.18 </t>
        </is>
      </c>
      <c r="B144" s="18" t="inlineStr">
        <is>
          <t> 4421 </t>
        </is>
      </c>
      <c r="C144" s="16" t="inlineStr">
        <is>
          <t>ORSE</t>
        </is>
      </c>
      <c r="D144" s="16" t="inlineStr">
        <is>
          <t>CANALETA DE CONCRETO C/ TAMPA REMOVÍVEL EM CHAPA DE AÇO (0,25 X 0,25  X 0,25M)</t>
        </is>
      </c>
      <c r="E144" s="17" t="inlineStr">
        <is>
          <t>m</t>
        </is>
      </c>
      <c r="F144" s="18" t="n">
        <v>29.87</v>
      </c>
      <c r="G144" s="19" t="n">
        <v>322.380882236</v>
      </c>
      <c r="H144" s="19" t="str">
        <f>ROUND(G144 * (1 + 32.78 / 100), 9)</f>
      </c>
      <c r="I144" s="19" t="str">
        <f>ROUND(F144 * h144, 9)</f>
      </c>
      <c r="J144" s="20" t="str">
        <f>i144 / 1181066.0424007571906268</f>
      </c>
    </row>
    <row customHeight="1" ht="24" r="145">
      <c r="A145" s="8" t="inlineStr">
        <is>
          <t> 2.10 </t>
        </is>
      </c>
      <c r="B145" s="8"/>
      <c r="C145" s="8"/>
      <c r="D145" s="8" t="inlineStr">
        <is>
          <t>PINTURA</t>
        </is>
      </c>
      <c r="E145" s="8"/>
      <c r="F145" s="10"/>
      <c r="G145" s="8"/>
      <c r="H145" s="8"/>
      <c r="I145" s="11" t="n">
        <v>27167.11620125533</v>
      </c>
      <c r="J145" s="12" t="str">
        <f>i145 / 1181066.0424007571906268</f>
      </c>
    </row>
    <row customHeight="1" ht="26" r="146">
      <c r="A146" s="16" t="inlineStr">
        <is>
          <t> 2.10.1 </t>
        </is>
      </c>
      <c r="B146" s="18" t="inlineStr">
        <is>
          <t> 88485 </t>
        </is>
      </c>
      <c r="C146" s="16" t="inlineStr">
        <is>
          <t>SINAPI</t>
        </is>
      </c>
      <c r="D146" s="16" t="inlineStr">
        <is>
          <t>APLICAÇÃO DE FUNDO SELADOR ACRÍLICO EM PAREDES, UMA DEMÃO. AF_06/2014</t>
        </is>
      </c>
      <c r="E146" s="17" t="inlineStr">
        <is>
          <t>m²</t>
        </is>
      </c>
      <c r="F146" s="18" t="n">
        <v>578.76</v>
      </c>
      <c r="G146" s="19" t="n">
        <v>2.904468632</v>
      </c>
      <c r="H146" s="19" t="str">
        <f>ROUND(G146 * (1 + 32.78 / 100), 9)</f>
      </c>
      <c r="I146" s="19" t="str">
        <f>ROUND(F146 * h146, 9)</f>
      </c>
      <c r="J146" s="20" t="str">
        <f>i146 / 1181066.0424007571906268</f>
      </c>
    </row>
    <row customHeight="1" ht="26" r="147">
      <c r="A147" s="16" t="inlineStr">
        <is>
          <t> 2.10.2 </t>
        </is>
      </c>
      <c r="B147" s="18" t="inlineStr">
        <is>
          <t> 88497 </t>
        </is>
      </c>
      <c r="C147" s="16" t="inlineStr">
        <is>
          <t>SINAPI</t>
        </is>
      </c>
      <c r="D147" s="16" t="inlineStr">
        <is>
          <t>APLICAÇÃO E LIXAMENTO DE MASSA LÁTEX EM PAREDES, DUAS DEMÃOS. AF_06/2014</t>
        </is>
      </c>
      <c r="E147" s="17" t="inlineStr">
        <is>
          <t>m²</t>
        </is>
      </c>
      <c r="F147" s="18" t="n">
        <v>578.76</v>
      </c>
      <c r="G147" s="19" t="n">
        <v>14.067497217</v>
      </c>
      <c r="H147" s="19" t="str">
        <f>ROUND(G147 * (1 + 32.78 / 100), 9)</f>
      </c>
      <c r="I147" s="19" t="str">
        <f>ROUND(F147 * h147, 9)</f>
      </c>
      <c r="J147" s="20" t="str">
        <f>i147 / 1181066.0424007571906268</f>
      </c>
    </row>
    <row customHeight="1" ht="26" r="148">
      <c r="A148" s="16" t="inlineStr">
        <is>
          <t> 2.10.3 </t>
        </is>
      </c>
      <c r="B148" s="18" t="inlineStr">
        <is>
          <t> 88489 </t>
        </is>
      </c>
      <c r="C148" s="16" t="inlineStr">
        <is>
          <t>SINAPI</t>
        </is>
      </c>
      <c r="D148" s="16" t="inlineStr">
        <is>
          <t>APLICAÇÃO MANUAL DE PINTURA COM TINTA LÁTEX ACRÍLICA EM PAREDES, DUAS DEMÃOS. AF_06/2014</t>
        </is>
      </c>
      <c r="E148" s="17" t="inlineStr">
        <is>
          <t>m²</t>
        </is>
      </c>
      <c r="F148" s="18" t="n">
        <v>578.76</v>
      </c>
      <c r="G148" s="19" t="n">
        <v>11.197476541</v>
      </c>
      <c r="H148" s="19" t="str">
        <f>ROUND(G148 * (1 + 32.78 / 100), 9)</f>
      </c>
      <c r="I148" s="19" t="str">
        <f>ROUND(F148 * h148, 9)</f>
      </c>
      <c r="J148" s="20" t="str">
        <f>i148 / 1181066.0424007571906268</f>
      </c>
    </row>
    <row customHeight="1" ht="52" r="149">
      <c r="A149" s="16" t="inlineStr">
        <is>
          <t> 2.10.4 </t>
        </is>
      </c>
      <c r="B149" s="18" t="inlineStr">
        <is>
          <t> 100761 </t>
        </is>
      </c>
      <c r="C149" s="16" t="inlineStr">
        <is>
          <t>SINAPI</t>
        </is>
      </c>
      <c r="D149" s="16" t="inlineStr">
        <is>
          <t>PINTURA COM TINTA ALQUÍDICA DE ACABAMENTO (ESMALTE SINTÉTICO FOSCO) PULVERIZADA SOBRE SUPERFÍCIES METÁLICAS EXECUTADO EM OBRA (02 DEMÃOS). AF_01/2020 (EF1, EF2, EF3, EF4, EF5, EF6 e EF7)</t>
        </is>
      </c>
      <c r="E149" s="17" t="inlineStr">
        <is>
          <t>m²</t>
        </is>
      </c>
      <c r="F149" s="18" t="n">
        <v>47.98</v>
      </c>
      <c r="G149" s="19" t="n">
        <v>38.706213536</v>
      </c>
      <c r="H149" s="19" t="str">
        <f>ROUND(G149 * (1 + 32.78 / 100), 9)</f>
      </c>
      <c r="I149" s="19" t="str">
        <f>ROUND(F149 * h149, 9)</f>
      </c>
      <c r="J149" s="20" t="str">
        <f>i149 / 1181066.0424007571906268</f>
      </c>
    </row>
    <row customHeight="1" ht="39" r="150">
      <c r="A150" s="16" t="inlineStr">
        <is>
          <t> 2.10.5 </t>
        </is>
      </c>
      <c r="B150" s="18" t="inlineStr">
        <is>
          <t> 102229 </t>
        </is>
      </c>
      <c r="C150" s="16" t="inlineStr">
        <is>
          <t>SINAPI</t>
        </is>
      </c>
      <c r="D150" s="16" t="inlineStr">
        <is>
          <t>PINTURA TINTA DE ACABAMENTO (PIGMENTADA) ESMALTE SINTÉTICO ACETINADO EM MADEIRA, 3 DEMÃOS. AF_01/2021 (P1 e P2)</t>
        </is>
      </c>
      <c r="E150" s="17" t="inlineStr">
        <is>
          <t>m²</t>
        </is>
      </c>
      <c r="F150" s="18" t="n">
        <v>21.42</v>
      </c>
      <c r="G150" s="19" t="n">
        <v>19.538853881</v>
      </c>
      <c r="H150" s="19" t="str">
        <f>ROUND(G150 * (1 + 32.78 / 100), 9)</f>
      </c>
      <c r="I150" s="19" t="str">
        <f>ROUND(F150 * h150, 9)</f>
      </c>
      <c r="J150" s="20" t="str">
        <f>i150 / 1181066.0424007571906268</f>
      </c>
    </row>
    <row customHeight="1" ht="24" r="151">
      <c r="A151" s="16" t="inlineStr">
        <is>
          <t> 2.10.6 </t>
        </is>
      </c>
      <c r="B151" s="18" t="inlineStr">
        <is>
          <t> 79500/002 </t>
        </is>
      </c>
      <c r="C151" s="16" t="inlineStr">
        <is>
          <t>SINAPI</t>
        </is>
      </c>
      <c r="D151" s="16" t="inlineStr">
        <is>
          <t>PINTURA ACRILICA EM PISO CIMENTADO, TRES DEMAOS (P3)</t>
        </is>
      </c>
      <c r="E151" s="17" t="inlineStr">
        <is>
          <t>m²</t>
        </is>
      </c>
      <c r="F151" s="18" t="n">
        <v>86.2</v>
      </c>
      <c r="G151" s="19" t="n">
        <v>21.8242961</v>
      </c>
      <c r="H151" s="19" t="str">
        <f>ROUND(G151 * (1 + 32.78 / 100), 9)</f>
      </c>
      <c r="I151" s="19" t="str">
        <f>ROUND(F151 * h151, 9)</f>
      </c>
      <c r="J151" s="20" t="str">
        <f>i151 / 1181066.0424007571906268</f>
      </c>
    </row>
    <row customHeight="1" ht="24" r="152">
      <c r="A152" s="8" t="inlineStr">
        <is>
          <t> 2.11 </t>
        </is>
      </c>
      <c r="B152" s="8"/>
      <c r="C152" s="8"/>
      <c r="D152" s="8" t="inlineStr">
        <is>
          <t>FORRO</t>
        </is>
      </c>
      <c r="E152" s="8"/>
      <c r="F152" s="10"/>
      <c r="G152" s="8"/>
      <c r="H152" s="8"/>
      <c r="I152" s="11" t="n">
        <v>19511.717811143622</v>
      </c>
      <c r="J152" s="12" t="str">
        <f>i152 / 1181066.0424007571906268</f>
      </c>
    </row>
    <row customHeight="1" ht="24" r="153">
      <c r="A153" s="16" t="inlineStr">
        <is>
          <t> 2.11.1 </t>
        </is>
      </c>
      <c r="B153" s="18" t="inlineStr">
        <is>
          <t> 00000182 </t>
        </is>
      </c>
      <c r="C153" s="16" t="inlineStr">
        <is>
          <t>Próprio</t>
        </is>
      </c>
      <c r="D153" s="16" t="inlineStr">
        <is>
          <t>FORRO EM GESSO ACARTONADO ARAMADO</t>
        </is>
      </c>
      <c r="E153" s="17" t="inlineStr">
        <is>
          <t>m²</t>
        </is>
      </c>
      <c r="F153" s="18" t="n">
        <v>105.93</v>
      </c>
      <c r="G153" s="19" t="n">
        <v>95.749917</v>
      </c>
      <c r="H153" s="19" t="str">
        <f>ROUND(G153 * (1 + 32.78 / 100), 9)</f>
      </c>
      <c r="I153" s="19" t="str">
        <f>ROUND(F153 * h153, 9)</f>
      </c>
      <c r="J153" s="20" t="str">
        <f>i153 / 1181066.0424007571906268</f>
      </c>
    </row>
    <row customHeight="1" ht="26" r="154">
      <c r="A154" s="16" t="inlineStr">
        <is>
          <t> 2.11.2 </t>
        </is>
      </c>
      <c r="B154" s="18" t="inlineStr">
        <is>
          <t> 88484 </t>
        </is>
      </c>
      <c r="C154" s="16" t="inlineStr">
        <is>
          <t>SINAPI</t>
        </is>
      </c>
      <c r="D154" s="16" t="inlineStr">
        <is>
          <t>APLICAÇÃO DE FUNDO SELADOR ACRÍLICO EM TETO, UMA DEMÃO. AF_06/2014</t>
        </is>
      </c>
      <c r="E154" s="17" t="inlineStr">
        <is>
          <t>m²</t>
        </is>
      </c>
      <c r="F154" s="18" t="n">
        <v>105.93</v>
      </c>
      <c r="G154" s="19" t="n">
        <v>3.649012528</v>
      </c>
      <c r="H154" s="19" t="str">
        <f>ROUND(G154 * (1 + 32.78 / 100), 9)</f>
      </c>
      <c r="I154" s="19" t="str">
        <f>ROUND(F154 * h154, 9)</f>
      </c>
      <c r="J154" s="20" t="str">
        <f>i154 / 1181066.0424007571906268</f>
      </c>
    </row>
    <row customHeight="1" ht="26" r="155">
      <c r="A155" s="16" t="inlineStr">
        <is>
          <t> 2.11.3 </t>
        </is>
      </c>
      <c r="B155" s="18" t="inlineStr">
        <is>
          <t> 88496 </t>
        </is>
      </c>
      <c r="C155" s="16" t="inlineStr">
        <is>
          <t>SINAPI</t>
        </is>
      </c>
      <c r="D155" s="16" t="inlineStr">
        <is>
          <t>APLICAÇÃO E LIXAMENTO DE MASSA LÁTEX EM TETO, DUAS DEMÃOS. AF_06/2014</t>
        </is>
      </c>
      <c r="E155" s="17" t="inlineStr">
        <is>
          <t>m²</t>
        </is>
      </c>
      <c r="F155" s="18" t="n">
        <v>105.93</v>
      </c>
      <c r="G155" s="19" t="n">
        <v>24.933824203</v>
      </c>
      <c r="H155" s="19" t="str">
        <f>ROUND(G155 * (1 + 32.78 / 100), 9)</f>
      </c>
      <c r="I155" s="19" t="str">
        <f>ROUND(F155 * h155, 9)</f>
      </c>
      <c r="J155" s="20" t="str">
        <f>i155 / 1181066.0424007571906268</f>
      </c>
    </row>
    <row customHeight="1" ht="26" r="156">
      <c r="A156" s="16" t="inlineStr">
        <is>
          <t> 2.11.4 </t>
        </is>
      </c>
      <c r="B156" s="18" t="inlineStr">
        <is>
          <t> 88486 </t>
        </is>
      </c>
      <c r="C156" s="16" t="inlineStr">
        <is>
          <t>SINAPI</t>
        </is>
      </c>
      <c r="D156" s="16" t="inlineStr">
        <is>
          <t>APLICAÇÃO MANUAL DE PINTURA COM TINTA LÁTEX PVA EM TETO, DUAS DEMÃOS. AF_06/2014</t>
        </is>
      </c>
      <c r="E156" s="17" t="inlineStr">
        <is>
          <t>m²</t>
        </is>
      </c>
      <c r="F156" s="18" t="n">
        <v>105.93</v>
      </c>
      <c r="G156" s="19" t="n">
        <v>14.388776154</v>
      </c>
      <c r="H156" s="19" t="str">
        <f>ROUND(G156 * (1 + 32.78 / 100), 9)</f>
      </c>
      <c r="I156" s="19" t="str">
        <f>ROUND(F156 * h156, 9)</f>
      </c>
      <c r="J156" s="20" t="str">
        <f>i156 / 1181066.0424007571906268</f>
      </c>
    </row>
    <row customHeight="1" ht="24" r="157">
      <c r="A157" s="8" t="inlineStr">
        <is>
          <t> 2.12 </t>
        </is>
      </c>
      <c r="B157" s="8"/>
      <c r="C157" s="8"/>
      <c r="D157" s="8" t="inlineStr">
        <is>
          <t>LOUÇAS, METAIS E ACESSÓRIOS</t>
        </is>
      </c>
      <c r="E157" s="8"/>
      <c r="F157" s="10"/>
      <c r="G157" s="8"/>
      <c r="H157" s="8"/>
      <c r="I157" s="11" t="n">
        <v>29200.244304170603</v>
      </c>
      <c r="J157" s="12" t="str">
        <f>i157 / 1181066.0424007571906268</f>
      </c>
    </row>
    <row customHeight="1" ht="24" r="158">
      <c r="A158" s="16" t="inlineStr">
        <is>
          <t> 2.12.1 </t>
        </is>
      </c>
      <c r="B158" s="18" t="inlineStr">
        <is>
          <t> 11150 </t>
        </is>
      </c>
      <c r="C158" s="16" t="inlineStr">
        <is>
          <t>ORSE</t>
        </is>
      </c>
      <c r="D158" s="16" t="inlineStr">
        <is>
          <t>BANCADA EM GRANITO VERDE UBATUBA, E = 2CM</t>
        </is>
      </c>
      <c r="E158" s="17" t="inlineStr">
        <is>
          <t>m²</t>
        </is>
      </c>
      <c r="F158" s="18" t="n">
        <v>7.99</v>
      </c>
      <c r="G158" s="19" t="n">
        <v>819.166727</v>
      </c>
      <c r="H158" s="19" t="str">
        <f>ROUND(G158 * (1 + 32.78 / 100), 9)</f>
      </c>
      <c r="I158" s="19" t="str">
        <f>ROUND(F158 * h158, 9)</f>
      </c>
      <c r="J158" s="20" t="str">
        <f>i158 / 1181066.0424007571906268</f>
      </c>
    </row>
    <row customHeight="1" ht="26" r="159">
      <c r="A159" s="45" t="inlineStr">
        <is>
          <t> 2.12.2 </t>
        </is>
      </c>
      <c r="B159" s="47" t="inlineStr">
        <is>
          <t> 00000568 </t>
        </is>
      </c>
      <c r="C159" s="45" t="inlineStr">
        <is>
          <t>SINAPI</t>
        </is>
      </c>
      <c r="D159" s="45" t="inlineStr">
        <is>
          <t>CANTONEIRA (ABAS IGUAIS) EM FERRO GALVANIZADO, 50,8 MM X 9,53 MM (L X E), 6,99 KG/M</t>
        </is>
      </c>
      <c r="E159" s="46" t="inlineStr">
        <is>
          <t>M</t>
        </is>
      </c>
      <c r="F159" s="47" t="n">
        <v>6.5</v>
      </c>
      <c r="G159" s="48" t="n">
        <v>70.53</v>
      </c>
      <c r="H159" s="48" t="str">
        <f>ROUND(G159 * (1 + 32.78 / 100), 9)</f>
      </c>
      <c r="I159" s="48" t="str">
        <f>ROUND(F159 * h159, 9)</f>
      </c>
      <c r="J159" s="49" t="str">
        <f>i159 / 1181066.0424007571906268</f>
      </c>
    </row>
    <row customHeight="1" ht="26" r="160">
      <c r="A160" s="16" t="inlineStr">
        <is>
          <t> 2.12.3 </t>
        </is>
      </c>
      <c r="B160" s="18" t="inlineStr">
        <is>
          <t> 190318 </t>
        </is>
      </c>
      <c r="C160" s="16" t="inlineStr">
        <is>
          <t>SBC</t>
        </is>
      </c>
      <c r="D160" s="16" t="inlineStr">
        <is>
          <t>CUBA DE SOBREPOR 0,35 x 0,35 cm (DECA LINHA CARRARA REF.L34 OU SIMILAR)</t>
        </is>
      </c>
      <c r="E160" s="17" t="inlineStr">
        <is>
          <t>UN</t>
        </is>
      </c>
      <c r="F160" s="18" t="n">
        <v>2.0</v>
      </c>
      <c r="G160" s="19" t="n">
        <v>868.65282</v>
      </c>
      <c r="H160" s="19" t="str">
        <f>ROUND(G160 * (1 + 32.78 / 100), 9)</f>
      </c>
      <c r="I160" s="19" t="str">
        <f>ROUND(F160 * h160, 9)</f>
      </c>
      <c r="J160" s="20" t="str">
        <f>i160 / 1181066.0424007571906268</f>
      </c>
    </row>
    <row customHeight="1" ht="39" r="161">
      <c r="A161" s="16" t="inlineStr">
        <is>
          <t> 2.12.4 </t>
        </is>
      </c>
      <c r="B161" s="18" t="inlineStr">
        <is>
          <t> 100852 </t>
        </is>
      </c>
      <c r="C161" s="16" t="inlineStr">
        <is>
          <t>SINAPI</t>
        </is>
      </c>
      <c r="D161" s="16" t="inlineStr">
        <is>
          <t>CUBA DE EMBUTIR RETANGULAR DE AÇO INOXIDÁVEL, 56 X 33 X 12 CM - FORNECIMENTO E INSTALAÇÃO. AF_01/2020</t>
        </is>
      </c>
      <c r="E161" s="17" t="inlineStr">
        <is>
          <t>UN</t>
        </is>
      </c>
      <c r="F161" s="18" t="n">
        <v>3.0</v>
      </c>
      <c r="G161" s="19" t="n">
        <v>249.801655099</v>
      </c>
      <c r="H161" s="19" t="str">
        <f>ROUND(G161 * (1 + 32.78 / 100), 9)</f>
      </c>
      <c r="I161" s="19" t="str">
        <f>ROUND(F161 * h161, 9)</f>
      </c>
      <c r="J161" s="20" t="str">
        <f>i161 / 1181066.0424007571906268</f>
      </c>
    </row>
    <row customHeight="1" ht="26" r="162">
      <c r="A162" s="16" t="inlineStr">
        <is>
          <t> 2.12.5 </t>
        </is>
      </c>
      <c r="B162" s="18" t="inlineStr">
        <is>
          <t> 86887 </t>
        </is>
      </c>
      <c r="C162" s="16" t="inlineStr">
        <is>
          <t>SINAPI</t>
        </is>
      </c>
      <c r="D162" s="16" t="inlineStr">
        <is>
          <t>ENGATE FLEXÍVEL EM INOX, 1/2  X 40CM - FORNECIMENTO E INSTALAÇÃO. AF_01/2020</t>
        </is>
      </c>
      <c r="E162" s="17" t="inlineStr">
        <is>
          <t>UN</t>
        </is>
      </c>
      <c r="F162" s="18" t="n">
        <v>4.0</v>
      </c>
      <c r="G162" s="19" t="n">
        <v>61.061806219</v>
      </c>
      <c r="H162" s="19" t="str">
        <f>ROUND(G162 * (1 + 32.78 / 100), 9)</f>
      </c>
      <c r="I162" s="19" t="str">
        <f>ROUND(F162 * h162, 9)</f>
      </c>
      <c r="J162" s="20" t="str">
        <f>i162 / 1181066.0424007571906268</f>
      </c>
    </row>
    <row customHeight="1" ht="26" r="163">
      <c r="A163" s="45" t="inlineStr">
        <is>
          <t> 2.12.6 </t>
        </is>
      </c>
      <c r="B163" s="47" t="inlineStr">
        <is>
          <t> 00001370 </t>
        </is>
      </c>
      <c r="C163" s="45" t="inlineStr">
        <is>
          <t>SINAPI</t>
        </is>
      </c>
      <c r="D163" s="45" t="inlineStr">
        <is>
          <t>DUCHA HIGIENICA PLASTICA COM REGISTRO METALICO 1/2 "</t>
        </is>
      </c>
      <c r="E163" s="46" t="inlineStr">
        <is>
          <t>UN</t>
        </is>
      </c>
      <c r="F163" s="47" t="n">
        <v>2.0</v>
      </c>
      <c r="G163" s="48" t="n">
        <v>114.25</v>
      </c>
      <c r="H163" s="48" t="str">
        <f>ROUND(G163 * (1 + 32.78 / 100), 9)</f>
      </c>
      <c r="I163" s="48" t="str">
        <f>ROUND(F163 * h163, 9)</f>
      </c>
      <c r="J163" s="49" t="str">
        <f>i163 / 1181066.0424007571906268</f>
      </c>
    </row>
    <row customHeight="1" ht="26" r="164">
      <c r="A164" s="16" t="inlineStr">
        <is>
          <t> 2.12.7 </t>
        </is>
      </c>
      <c r="B164" s="18" t="inlineStr">
        <is>
          <t> 86888 </t>
        </is>
      </c>
      <c r="C164" s="16" t="inlineStr">
        <is>
          <t>SINAPI</t>
        </is>
      </c>
      <c r="D164" s="16" t="inlineStr">
        <is>
          <t>VASO SANITÁRIO SIFONADO COM CAIXA ACOPLADA LOUÇA BRANCA - FORNECIMENTO E INSTALAÇÃO. AF_01/2020</t>
        </is>
      </c>
      <c r="E164" s="17" t="inlineStr">
        <is>
          <t>UN</t>
        </is>
      </c>
      <c r="F164" s="18" t="n">
        <v>2.0</v>
      </c>
      <c r="G164" s="19" t="n">
        <v>489.482377147</v>
      </c>
      <c r="H164" s="19" t="str">
        <f>ROUND(G164 * (1 + 32.78 / 100), 9)</f>
      </c>
      <c r="I164" s="19" t="str">
        <f>ROUND(F164 * h164, 9)</f>
      </c>
      <c r="J164" s="20" t="str">
        <f>i164 / 1181066.0424007571906268</f>
      </c>
    </row>
    <row customHeight="1" ht="26" r="165">
      <c r="A165" s="16" t="inlineStr">
        <is>
          <t> 2.12.8 </t>
        </is>
      </c>
      <c r="B165" s="18" t="inlineStr">
        <is>
          <t> 100849 </t>
        </is>
      </c>
      <c r="C165" s="16" t="inlineStr">
        <is>
          <t>SINAPI</t>
        </is>
      </c>
      <c r="D165" s="16" t="inlineStr">
        <is>
          <t>ASSENTO SANITÁRIO CONVENCIONAL - FORNECIMENTO E INSTALACAO. AF_01/2020</t>
        </is>
      </c>
      <c r="E165" s="17" t="inlineStr">
        <is>
          <t>UN</t>
        </is>
      </c>
      <c r="F165" s="18" t="n">
        <v>2.0</v>
      </c>
      <c r="G165" s="19" t="n">
        <v>39.487059746</v>
      </c>
      <c r="H165" s="19" t="str">
        <f>ROUND(G165 * (1 + 32.78 / 100), 9)</f>
      </c>
      <c r="I165" s="19" t="str">
        <f>ROUND(F165 * h165, 9)</f>
      </c>
      <c r="J165" s="20" t="str">
        <f>i165 / 1181066.0424007571906268</f>
      </c>
    </row>
    <row customHeight="1" ht="26" r="166">
      <c r="A166" s="16" t="inlineStr">
        <is>
          <t> 2.12.9 </t>
        </is>
      </c>
      <c r="B166" s="18" t="inlineStr">
        <is>
          <t> 74125/002 </t>
        </is>
      </c>
      <c r="C166" s="16" t="inlineStr">
        <is>
          <t>SINAPI</t>
        </is>
      </c>
      <c r="D166" s="16" t="inlineStr">
        <is>
          <t>ESPELHO CRISTAL ESPESSURA 4MM, COM MOLDURA EM ALUMINIO E COMPENSADO 6MM PLASTIFICADO COLADO</t>
        </is>
      </c>
      <c r="E166" s="17" t="inlineStr">
        <is>
          <t>m²</t>
        </is>
      </c>
      <c r="F166" s="18" t="n">
        <v>1.44</v>
      </c>
      <c r="G166" s="19" t="n">
        <v>1056.36553568</v>
      </c>
      <c r="H166" s="19" t="str">
        <f>ROUND(G166 * (1 + 32.78 / 100), 9)</f>
      </c>
      <c r="I166" s="19" t="str">
        <f>ROUND(F166 * h166, 9)</f>
      </c>
      <c r="J166" s="20" t="str">
        <f>i166 / 1181066.0424007571906268</f>
      </c>
    </row>
    <row customHeight="1" ht="26" r="167">
      <c r="A167" s="16" t="inlineStr">
        <is>
          <t> 2.12.10 </t>
        </is>
      </c>
      <c r="B167" s="18" t="inlineStr">
        <is>
          <t> 86881 </t>
        </is>
      </c>
      <c r="C167" s="16" t="inlineStr">
        <is>
          <t>SINAPI</t>
        </is>
      </c>
      <c r="D167" s="16" t="inlineStr">
        <is>
          <t>SIFÃO DO TIPO GARRAFA EM METAL CROMADO 1 X 1.1/2 - FORNECIMENTO E INSTALAÇÃO. AF_01/2020</t>
        </is>
      </c>
      <c r="E167" s="17" t="inlineStr">
        <is>
          <t>UN</t>
        </is>
      </c>
      <c r="F167" s="18" t="n">
        <v>5.0</v>
      </c>
      <c r="G167" s="19" t="n">
        <v>234.408068818</v>
      </c>
      <c r="H167" s="19" t="str">
        <f>ROUND(G167 * (1 + 32.78 / 100), 9)</f>
      </c>
      <c r="I167" s="19" t="str">
        <f>ROUND(F167 * h167, 9)</f>
      </c>
      <c r="J167" s="20" t="str">
        <f>i167 / 1181066.0424007571906268</f>
      </c>
    </row>
    <row customHeight="1" ht="39" r="168">
      <c r="A168" s="16" t="inlineStr">
        <is>
          <t> 2.12.11 </t>
        </is>
      </c>
      <c r="B168" s="18" t="inlineStr">
        <is>
          <t> 86877 </t>
        </is>
      </c>
      <c r="C168" s="16" t="inlineStr">
        <is>
          <t>SINAPI</t>
        </is>
      </c>
      <c r="D168" s="16" t="inlineStr">
        <is>
          <t>VÁLVULA EM METAL CROMADO 1.1/2 X 1.1/2 PARA TANQUE OU LAVATÓRIO, COM OU SEM LADRÃO - FORNECIMENTO E INSTALAÇÃO. AF_01/2020</t>
        </is>
      </c>
      <c r="E168" s="17" t="inlineStr">
        <is>
          <t>UN</t>
        </is>
      </c>
      <c r="F168" s="18" t="n">
        <v>4.0</v>
      </c>
      <c r="G168" s="19" t="n">
        <v>76.174766758</v>
      </c>
      <c r="H168" s="19" t="str">
        <f>ROUND(G168 * (1 + 32.78 / 100), 9)</f>
      </c>
      <c r="I168" s="19" t="str">
        <f>ROUND(F168 * h168, 9)</f>
      </c>
      <c r="J168" s="20" t="str">
        <f>i168 / 1181066.0424007571906268</f>
      </c>
    </row>
    <row customHeight="1" ht="39" r="169">
      <c r="A169" s="16" t="inlineStr">
        <is>
          <t> 2.12.12 </t>
        </is>
      </c>
      <c r="B169" s="18" t="inlineStr">
        <is>
          <t> 86878 </t>
        </is>
      </c>
      <c r="C169" s="16" t="inlineStr">
        <is>
          <t>SINAPI</t>
        </is>
      </c>
      <c r="D169" s="16" t="inlineStr">
        <is>
          <t>VÁLVULA EM METAL CROMADO TIPO AMERICANA 3.1/2 X 1.1/2 PARA PIA - FORNECIMENTO E INSTALAÇÃO. AF_01/2020</t>
        </is>
      </c>
      <c r="E169" s="17" t="inlineStr">
        <is>
          <t>UN</t>
        </is>
      </c>
      <c r="F169" s="18" t="n">
        <v>3.0</v>
      </c>
      <c r="G169" s="19" t="n">
        <v>82.284766758</v>
      </c>
      <c r="H169" s="19" t="str">
        <f>ROUND(G169 * (1 + 32.78 / 100), 9)</f>
      </c>
      <c r="I169" s="19" t="str">
        <f>ROUND(F169 * h169, 9)</f>
      </c>
      <c r="J169" s="20" t="str">
        <f>i169 / 1181066.0424007571906268</f>
      </c>
    </row>
    <row customHeight="1" ht="39" r="170">
      <c r="A170" s="16" t="inlineStr">
        <is>
          <t> 2.12.13 </t>
        </is>
      </c>
      <c r="B170" s="18" t="inlineStr">
        <is>
          <t> 86915 </t>
        </is>
      </c>
      <c r="C170" s="16" t="inlineStr">
        <is>
          <t>SINAPI</t>
        </is>
      </c>
      <c r="D170" s="16" t="inlineStr">
        <is>
          <t>TORNEIRA CROMADA DE MESA, 1/2 OU 3/4, PARA LAVATÓRIO, PADRÃO MÉDIO - FORNECIMENTO E INSTALAÇÃO. AF_01/2020</t>
        </is>
      </c>
      <c r="E170" s="17" t="inlineStr">
        <is>
          <t>UN</t>
        </is>
      </c>
      <c r="F170" s="18" t="n">
        <v>2.0</v>
      </c>
      <c r="G170" s="19" t="n">
        <v>198.395267871</v>
      </c>
      <c r="H170" s="19" t="str">
        <f>ROUND(G170 * (1 + 32.78 / 100), 9)</f>
      </c>
      <c r="I170" s="19" t="str">
        <f>ROUND(F170 * h170, 9)</f>
      </c>
      <c r="J170" s="20" t="str">
        <f>i170 / 1181066.0424007571906268</f>
      </c>
    </row>
    <row customHeight="1" ht="26" r="171">
      <c r="A171" s="16" t="inlineStr">
        <is>
          <t> 2.12.14 </t>
        </is>
      </c>
      <c r="B171" s="18" t="inlineStr">
        <is>
          <t> 86914 </t>
        </is>
      </c>
      <c r="C171" s="16" t="inlineStr">
        <is>
          <t>SINAPI</t>
        </is>
      </c>
      <c r="D171" s="16" t="inlineStr">
        <is>
          <t>TORNEIRA CROMADA 1/2 OU 3/4 PARA TANQUE, PADRÃO MÉDIO - FORNECIMENTO E INSTALAÇÃO. AF_01/2020</t>
        </is>
      </c>
      <c r="E171" s="17" t="inlineStr">
        <is>
          <t>UN</t>
        </is>
      </c>
      <c r="F171" s="18" t="n">
        <v>2.0</v>
      </c>
      <c r="G171" s="19" t="n">
        <v>134.521806219</v>
      </c>
      <c r="H171" s="19" t="str">
        <f>ROUND(G171 * (1 + 32.78 / 100), 9)</f>
      </c>
      <c r="I171" s="19" t="str">
        <f>ROUND(F171 * h171, 9)</f>
      </c>
      <c r="J171" s="20" t="str">
        <f>i171 / 1181066.0424007571906268</f>
      </c>
    </row>
    <row customHeight="1" ht="39" r="172">
      <c r="A172" s="16" t="inlineStr">
        <is>
          <t> 2.12.15 </t>
        </is>
      </c>
      <c r="B172" s="18" t="inlineStr">
        <is>
          <t> 86909 </t>
        </is>
      </c>
      <c r="C172" s="16" t="inlineStr">
        <is>
          <t>SINAPI</t>
        </is>
      </c>
      <c r="D172" s="16" t="inlineStr">
        <is>
          <t>TORNEIRA CROMADA TUBO MÓVEL, DE MESA, 1/2 OU 3/4, PARA PIA DE COZINHA, PADRÃO ALTO - FORNECIMENTO E INSTALAÇÃO. AF_01/2020</t>
        </is>
      </c>
      <c r="E172" s="17" t="inlineStr">
        <is>
          <t>UN</t>
        </is>
      </c>
      <c r="F172" s="18" t="n">
        <v>3.0</v>
      </c>
      <c r="G172" s="19" t="n">
        <v>178.44917189</v>
      </c>
      <c r="H172" s="19" t="str">
        <f>ROUND(G172 * (1 + 32.78 / 100), 9)</f>
      </c>
      <c r="I172" s="19" t="str">
        <f>ROUND(F172 * h172, 9)</f>
      </c>
      <c r="J172" s="20" t="str">
        <f>i172 / 1181066.0424007571906268</f>
      </c>
    </row>
    <row customHeight="1" ht="26" r="173">
      <c r="A173" s="16" t="inlineStr">
        <is>
          <t> 2.12.16 </t>
        </is>
      </c>
      <c r="B173" s="18" t="inlineStr">
        <is>
          <t> 86872 </t>
        </is>
      </c>
      <c r="C173" s="16" t="inlineStr">
        <is>
          <t>SINAPI</t>
        </is>
      </c>
      <c r="D173" s="16" t="inlineStr">
        <is>
          <t>TANQUE DE LOUÇA BRANCA COM COLUNA, 30L OU EQUIVALENTE - FORNECIMENTO E INSTALAÇÃO. AF_01/2020</t>
        </is>
      </c>
      <c r="E173" s="17" t="inlineStr">
        <is>
          <t>UN</t>
        </is>
      </c>
      <c r="F173" s="18" t="n">
        <v>2.0</v>
      </c>
      <c r="G173" s="19" t="n">
        <v>711.67131763</v>
      </c>
      <c r="H173" s="19" t="str">
        <f>ROUND(G173 * (1 + 32.78 / 100), 9)</f>
      </c>
      <c r="I173" s="19" t="str">
        <f>ROUND(F173 * h173, 9)</f>
      </c>
      <c r="J173" s="20" t="str">
        <f>i173 / 1181066.0424007571906268</f>
      </c>
    </row>
    <row customHeight="1" ht="26" r="174">
      <c r="A174" s="16" t="inlineStr">
        <is>
          <t> 2.12.17 </t>
        </is>
      </c>
      <c r="B174" s="18" t="inlineStr">
        <is>
          <t> 100860 </t>
        </is>
      </c>
      <c r="C174" s="16" t="inlineStr">
        <is>
          <t>SINAPI</t>
        </is>
      </c>
      <c r="D174" s="16" t="inlineStr">
        <is>
          <t>CHUVEIRO ELÉTRICO COMUM CORPO PLÁSTICO, TIPO DUCHA  FORNECIMENTO E INSTALAÇÃO. AF_01/2020</t>
        </is>
      </c>
      <c r="E174" s="17" t="inlineStr">
        <is>
          <t>UN</t>
        </is>
      </c>
      <c r="F174" s="18" t="n">
        <v>3.0</v>
      </c>
      <c r="G174" s="19" t="n">
        <v>95.576767994</v>
      </c>
      <c r="H174" s="19" t="str">
        <f>ROUND(G174 * (1 + 32.78 / 100), 9)</f>
      </c>
      <c r="I174" s="19" t="str">
        <f>ROUND(F174 * h174, 9)</f>
      </c>
      <c r="J174" s="20" t="str">
        <f>i174 / 1181066.0424007571906268</f>
      </c>
    </row>
    <row customHeight="1" ht="26" r="175">
      <c r="A175" s="16" t="inlineStr">
        <is>
          <t> 2.12.18 </t>
        </is>
      </c>
      <c r="B175" s="18" t="inlineStr">
        <is>
          <t> 95546 </t>
        </is>
      </c>
      <c r="C175" s="16" t="inlineStr">
        <is>
          <t>SINAPI</t>
        </is>
      </c>
      <c r="D175" s="16" t="inlineStr">
        <is>
          <t>KIT DE ACESSORIOS PARA BANHEIRO EM METAL CROMADO, 5 PECAS, INCLUSO FIXAÇÃO. AF_01/2020</t>
        </is>
      </c>
      <c r="E175" s="17" t="inlineStr">
        <is>
          <t>UN</t>
        </is>
      </c>
      <c r="F175" s="18" t="n">
        <v>2.0</v>
      </c>
      <c r="G175" s="19" t="n">
        <v>165.210357639</v>
      </c>
      <c r="H175" s="19" t="str">
        <f>ROUND(G175 * (1 + 32.78 / 100), 9)</f>
      </c>
      <c r="I175" s="19" t="str">
        <f>ROUND(F175 * h175, 9)</f>
      </c>
      <c r="J175" s="20" t="str">
        <f>i175 / 1181066.0424007571906268</f>
      </c>
    </row>
    <row customHeight="1" ht="26" r="176">
      <c r="A176" s="16" t="inlineStr">
        <is>
          <t> 2.12.19 </t>
        </is>
      </c>
      <c r="B176" s="18" t="inlineStr">
        <is>
          <t> 102235 </t>
        </is>
      </c>
      <c r="C176" s="16" t="inlineStr">
        <is>
          <t>SINAPI</t>
        </is>
      </c>
      <c r="D176" s="16" t="inlineStr">
        <is>
          <t>BOX EM VIDRO TEMPERADO 10 MM, INCOLOR</t>
        </is>
      </c>
      <c r="E176" s="17" t="inlineStr">
        <is>
          <t>m²</t>
        </is>
      </c>
      <c r="F176" s="18" t="n">
        <v>7.2</v>
      </c>
      <c r="G176" s="19" t="n">
        <v>622.781733666</v>
      </c>
      <c r="H176" s="19" t="str">
        <f>ROUND(G176 * (1 + 32.78 / 100), 9)</f>
      </c>
      <c r="I176" s="19" t="str">
        <f>ROUND(F176 * h176, 9)</f>
      </c>
      <c r="J176" s="20" t="str">
        <f>i176 / 1181066.0424007571906268</f>
      </c>
    </row>
    <row customHeight="1" ht="24" r="177">
      <c r="A177" s="8" t="inlineStr">
        <is>
          <t> 2.13 </t>
        </is>
      </c>
      <c r="B177" s="8"/>
      <c r="C177" s="8"/>
      <c r="D177" s="8" t="inlineStr">
        <is>
          <t>DIVERSOS</t>
        </is>
      </c>
      <c r="E177" s="8"/>
      <c r="F177" s="10"/>
      <c r="G177" s="8"/>
      <c r="H177" s="8"/>
      <c r="I177" s="11" t="n">
        <v>29098.56576420329</v>
      </c>
      <c r="J177" s="12" t="str">
        <f>i177 / 1181066.0424007571906268</f>
      </c>
    </row>
    <row customHeight="1" ht="39" r="178">
      <c r="A178" s="16" t="inlineStr">
        <is>
          <t> 2.13.1 </t>
        </is>
      </c>
      <c r="B178" s="18" t="inlineStr">
        <is>
          <t> 13108 </t>
        </is>
      </c>
      <c r="C178" s="16" t="inlineStr">
        <is>
          <t>ORSE</t>
        </is>
      </c>
      <c r="D178" s="16" t="inlineStr">
        <is>
          <t>CONCERTINA EM AÇO GALVANIZADO, ESPIRAL DE Ø = 980MM, 5 CLIPES P/ ESPIRAL, LÂMINA DE 30MM E FIO INTERNO DE 2,75MM, INCLUISIVE INSTALAÇÃO</t>
        </is>
      </c>
      <c r="E178" s="17" t="inlineStr">
        <is>
          <t>m</t>
        </is>
      </c>
      <c r="F178" s="18" t="n">
        <v>62.25</v>
      </c>
      <c r="G178" s="19" t="n">
        <v>63.81367795</v>
      </c>
      <c r="H178" s="19" t="str">
        <f>ROUND(G178 * (1 + 32.78 / 100), 9)</f>
      </c>
      <c r="I178" s="19" t="str">
        <f>ROUND(F178 * h178, 9)</f>
      </c>
      <c r="J178" s="20" t="str">
        <f>i178 / 1181066.0424007571906268</f>
      </c>
    </row>
    <row customHeight="1" ht="26" r="179">
      <c r="A179" s="16" t="inlineStr">
        <is>
          <t> 2.13.2 </t>
        </is>
      </c>
      <c r="B179" s="18" t="inlineStr">
        <is>
          <t> 090151 </t>
        </is>
      </c>
      <c r="C179" s="16" t="inlineStr">
        <is>
          <t>SBC</t>
        </is>
      </c>
      <c r="D179" s="16" t="inlineStr">
        <is>
          <t>ALVENARIA TIJOLO REFRATARIO 2,5 x 11,4 x 22,9 CIM./AREIA 1:6 (CONFECÇÃO DE CHURRASQUEIRA)</t>
        </is>
      </c>
      <c r="E179" s="17" t="inlineStr">
        <is>
          <t>m²</t>
        </is>
      </c>
      <c r="F179" s="18" t="n">
        <v>6.48</v>
      </c>
      <c r="G179" s="19" t="n">
        <v>1042.45984</v>
      </c>
      <c r="H179" s="19" t="str">
        <f>ROUND(G179 * (1 + 32.78 / 100), 9)</f>
      </c>
      <c r="I179" s="19" t="str">
        <f>ROUND(F179 * h179, 9)</f>
      </c>
      <c r="J179" s="20" t="str">
        <f>i179 / 1181066.0424007571906268</f>
      </c>
    </row>
    <row customHeight="1" ht="24" r="180">
      <c r="A180" s="16" t="inlineStr">
        <is>
          <t> 2.13.3 </t>
        </is>
      </c>
      <c r="B180" s="18" t="inlineStr">
        <is>
          <t> 190578 </t>
        </is>
      </c>
      <c r="C180" s="16" t="inlineStr">
        <is>
          <t>SBC</t>
        </is>
      </c>
      <c r="D180" s="16" t="inlineStr">
        <is>
          <t>ARMARIO SOB BANCAS-COMPENSADO/LAMINADO</t>
        </is>
      </c>
      <c r="E180" s="17" t="inlineStr">
        <is>
          <t>m²</t>
        </is>
      </c>
      <c r="F180" s="18" t="n">
        <v>2.96</v>
      </c>
      <c r="G180" s="19" t="n">
        <v>2450.0</v>
      </c>
      <c r="H180" s="19" t="str">
        <f>ROUND(G180 * (1 + 32.78 / 100), 9)</f>
      </c>
      <c r="I180" s="19" t="str">
        <f>ROUND(F180 * h180, 9)</f>
      </c>
      <c r="J180" s="20" t="str">
        <f>i180 / 1181066.0424007571906268</f>
      </c>
    </row>
    <row customHeight="1" ht="26" r="181">
      <c r="A181" s="16" t="inlineStr">
        <is>
          <t> 2.13.4 </t>
        </is>
      </c>
      <c r="B181" s="18" t="inlineStr">
        <is>
          <t> 12636 </t>
        </is>
      </c>
      <c r="C181" s="16" t="inlineStr">
        <is>
          <t>ORSE</t>
        </is>
      </c>
      <c r="D181" s="16" t="inlineStr">
        <is>
          <t>LIMPEZA DE CAIXA DE PASSAGEM OU DE GORDURA COM REASSENTAMENTO DA TAMPA</t>
        </is>
      </c>
      <c r="E181" s="17" t="inlineStr">
        <is>
          <t>un</t>
        </is>
      </c>
      <c r="F181" s="18" t="n">
        <v>10.0</v>
      </c>
      <c r="G181" s="19" t="n">
        <v>24.815240626</v>
      </c>
      <c r="H181" s="19" t="str">
        <f>ROUND(G181 * (1 + 32.78 / 100), 9)</f>
      </c>
      <c r="I181" s="19" t="str">
        <f>ROUND(F181 * h181, 9)</f>
      </c>
      <c r="J181" s="20" t="str">
        <f>i181 / 1181066.0424007571906268</f>
      </c>
    </row>
    <row customHeight="1" ht="24" r="182">
      <c r="A182" s="16" t="inlineStr">
        <is>
          <t> 2.13.5 </t>
        </is>
      </c>
      <c r="B182" s="18" t="inlineStr">
        <is>
          <t> 12637 </t>
        </is>
      </c>
      <c r="C182" s="16" t="inlineStr">
        <is>
          <t>ORSE</t>
        </is>
      </c>
      <c r="D182" s="16" t="inlineStr">
        <is>
          <t>LIMPEZA DE FOSSA ATÉ 5M³</t>
        </is>
      </c>
      <c r="E182" s="17" t="inlineStr">
        <is>
          <t>un</t>
        </is>
      </c>
      <c r="F182" s="18" t="n">
        <v>1.0</v>
      </c>
      <c r="G182" s="19" t="n">
        <v>350.0</v>
      </c>
      <c r="H182" s="19" t="str">
        <f>ROUND(G182 * (1 + 32.78 / 100), 9)</f>
      </c>
      <c r="I182" s="19" t="str">
        <f>ROUND(F182 * h182, 9)</f>
      </c>
      <c r="J182" s="20" t="str">
        <f>i182 / 1181066.0424007571906268</f>
      </c>
    </row>
    <row customHeight="1" ht="24" r="183">
      <c r="A183" s="16" t="inlineStr">
        <is>
          <t> 2.13.6 </t>
        </is>
      </c>
      <c r="B183" s="18" t="inlineStr">
        <is>
          <t> 00000223 </t>
        </is>
      </c>
      <c r="C183" s="16" t="inlineStr">
        <is>
          <t>Próprio</t>
        </is>
      </c>
      <c r="D183" s="16" t="inlineStr">
        <is>
          <t>MOTOR PARA PORTÃO DESLIZANTE</t>
        </is>
      </c>
      <c r="E183" s="17" t="inlineStr">
        <is>
          <t>UND</t>
        </is>
      </c>
      <c r="F183" s="18" t="n">
        <v>1.0</v>
      </c>
      <c r="G183" s="19" t="n">
        <v>632.6884245</v>
      </c>
      <c r="H183" s="19" t="str">
        <f>ROUND(G183 * (1 + 32.78 / 100), 9)</f>
      </c>
      <c r="I183" s="19" t="str">
        <f>ROUND(F183 * h183, 9)</f>
      </c>
      <c r="J183" s="20" t="str">
        <f>i183 / 1181066.0424007571906268</f>
      </c>
    </row>
    <row customHeight="1" ht="24" r="184">
      <c r="A184" s="16" t="inlineStr">
        <is>
          <t> 2.13.7 </t>
        </is>
      </c>
      <c r="B184" s="18" t="inlineStr">
        <is>
          <t> 00000224 </t>
        </is>
      </c>
      <c r="C184" s="16" t="inlineStr">
        <is>
          <t>Próprio</t>
        </is>
      </c>
      <c r="D184" s="16" t="inlineStr">
        <is>
          <t>FECHADURA ELÉTRICA</t>
        </is>
      </c>
      <c r="E184" s="17" t="inlineStr">
        <is>
          <t>UND</t>
        </is>
      </c>
      <c r="F184" s="18" t="n">
        <v>1.0</v>
      </c>
      <c r="G184" s="19" t="n">
        <v>254.3124406</v>
      </c>
      <c r="H184" s="19" t="str">
        <f>ROUND(G184 * (1 + 32.78 / 100), 9)</f>
      </c>
      <c r="I184" s="19" t="str">
        <f>ROUND(F184 * h184, 9)</f>
      </c>
      <c r="J184" s="20" t="str">
        <f>i184 / 1181066.0424007571906268</f>
      </c>
    </row>
    <row customHeight="1" ht="24" r="185">
      <c r="A185" s="16" t="inlineStr">
        <is>
          <t> 2.13.8 </t>
        </is>
      </c>
      <c r="B185" s="18" t="inlineStr">
        <is>
          <t> 00000225 </t>
        </is>
      </c>
      <c r="C185" s="16" t="inlineStr">
        <is>
          <t>Próprio</t>
        </is>
      </c>
      <c r="D185" s="16" t="inlineStr">
        <is>
          <t>KIT CERCA ELÉTRICA INDUSTRIAL</t>
        </is>
      </c>
      <c r="E185" s="17" t="inlineStr">
        <is>
          <t>UND</t>
        </is>
      </c>
      <c r="F185" s="18" t="n">
        <v>1.0</v>
      </c>
      <c r="G185" s="19" t="n">
        <v>1470.8236136</v>
      </c>
      <c r="H185" s="19" t="str">
        <f>ROUND(G185 * (1 + 32.78 / 100), 9)</f>
      </c>
      <c r="I185" s="19" t="str">
        <f>ROUND(F185 * h185, 9)</f>
      </c>
      <c r="J185" s="20" t="str">
        <f>i185 / 1181066.0424007571906268</f>
      </c>
    </row>
    <row customHeight="1" ht="39" r="186">
      <c r="A186" s="16" t="inlineStr">
        <is>
          <t> 2.13.9 </t>
        </is>
      </c>
      <c r="B186" s="18" t="inlineStr">
        <is>
          <t> 98534 </t>
        </is>
      </c>
      <c r="C186" s="16" t="inlineStr">
        <is>
          <t>SINAPI</t>
        </is>
      </c>
      <c r="D186" s="16" t="inlineStr">
        <is>
          <t>PODA EM ALTURA DE ÁRVORE COM DIÂMETRO DE TRONCO MAIOR OU IGUAL A 0,40 M E MENOR QUE 0,60 M.AF_05/2018</t>
        </is>
      </c>
      <c r="E186" s="17" t="inlineStr">
        <is>
          <t>UN</t>
        </is>
      </c>
      <c r="F186" s="18" t="n">
        <v>1.0</v>
      </c>
      <c r="G186" s="19" t="n">
        <v>768.450185424</v>
      </c>
      <c r="H186" s="19" t="str">
        <f>ROUND(G186 * (1 + 32.78 / 100), 9)</f>
      </c>
      <c r="I186" s="19" t="str">
        <f>ROUND(F186 * h186, 9)</f>
      </c>
      <c r="J186" s="20" t="str">
        <f>i186 / 1181066.0424007571906268</f>
      </c>
    </row>
    <row customHeight="1" ht="26" r="187">
      <c r="A187" s="16" t="inlineStr">
        <is>
          <t> 2.13.10 </t>
        </is>
      </c>
      <c r="B187" s="18" t="inlineStr">
        <is>
          <t> 97595 </t>
        </is>
      </c>
      <c r="C187" s="16" t="inlineStr">
        <is>
          <t>SINAPI</t>
        </is>
      </c>
      <c r="D187" s="16" t="inlineStr">
        <is>
          <t>SENSOR DE PRESENÇA COM FOTOCÉLULA, FIXAÇÃO EM PAREDE - FORNECIMENTO E INSTALAÇÃO. AF_02/2020</t>
        </is>
      </c>
      <c r="E187" s="17" t="inlineStr">
        <is>
          <t>UN</t>
        </is>
      </c>
      <c r="F187" s="18" t="n">
        <v>2.0</v>
      </c>
      <c r="G187" s="19" t="n">
        <v>105.451375994</v>
      </c>
      <c r="H187" s="19" t="str">
        <f>ROUND(G187 * (1 + 32.78 / 100), 9)</f>
      </c>
      <c r="I187" s="19" t="str">
        <f>ROUND(F187 * h187, 9)</f>
      </c>
      <c r="J187" s="20" t="str">
        <f>i187 / 1181066.0424007571906268</f>
      </c>
    </row>
    <row customHeight="1" ht="24" r="188">
      <c r="A188" s="8" t="inlineStr">
        <is>
          <t> 4 </t>
        </is>
      </c>
      <c r="B188" s="8"/>
      <c r="C188" s="8"/>
      <c r="D188" s="8" t="inlineStr">
        <is>
          <t>RESIDÊNCIA 03</t>
        </is>
      </c>
      <c r="E188" s="8"/>
      <c r="F188" s="10"/>
      <c r="G188" s="8"/>
      <c r="H188" s="8"/>
      <c r="I188" s="11" t="n">
        <v>321228.4352005284</v>
      </c>
      <c r="J188" s="12" t="str">
        <f>i188 / 1181066.0424007571906268</f>
      </c>
    </row>
    <row customHeight="1" ht="24" r="189">
      <c r="A189" s="8" t="inlineStr">
        <is>
          <t> 4.1 </t>
        </is>
      </c>
      <c r="B189" s="8"/>
      <c r="C189" s="8"/>
      <c r="D189" s="8" t="inlineStr">
        <is>
          <t>DEMOLIÇÕES E RETIRADAS</t>
        </is>
      </c>
      <c r="E189" s="8"/>
      <c r="F189" s="10"/>
      <c r="G189" s="8"/>
      <c r="H189" s="8"/>
      <c r="I189" s="11" t="n">
        <v>6504.5559028744965</v>
      </c>
      <c r="J189" s="12" t="str">
        <f>i189 / 1181066.0424007571906268</f>
      </c>
    </row>
    <row customHeight="1" ht="26" r="190">
      <c r="A190" s="16" t="inlineStr">
        <is>
          <t> 4.1.1 </t>
        </is>
      </c>
      <c r="B190" s="18" t="inlineStr">
        <is>
          <t> 97622 </t>
        </is>
      </c>
      <c r="C190" s="16" t="inlineStr">
        <is>
          <t>SINAPI</t>
        </is>
      </c>
      <c r="D190" s="16" t="inlineStr">
        <is>
          <t>DEMOLIÇÃO DE ALVENARIA DE BLOCO FURADO, DE FORMA MANUAL, SEM REAPROVEITAMENTO. AF_12/2017</t>
        </is>
      </c>
      <c r="E190" s="17" t="inlineStr">
        <is>
          <t>m³</t>
        </is>
      </c>
      <c r="F190" s="18" t="n">
        <v>6.84</v>
      </c>
      <c r="G190" s="19" t="n">
        <v>43.867891081</v>
      </c>
      <c r="H190" s="19" t="str">
        <f>ROUND(G190 * (1 + 32.78 / 100), 9)</f>
      </c>
      <c r="I190" s="19" t="str">
        <f>ROUND(F190 * h190, 9)</f>
      </c>
      <c r="J190" s="20" t="str">
        <f>i190 / 1181066.0424007571906268</f>
      </c>
    </row>
    <row customHeight="1" ht="26" r="191">
      <c r="A191" s="16" t="inlineStr">
        <is>
          <t> 4.1.2 </t>
        </is>
      </c>
      <c r="B191" s="18" t="inlineStr">
        <is>
          <t> 97644 </t>
        </is>
      </c>
      <c r="C191" s="16" t="inlineStr">
        <is>
          <t>SINAPI</t>
        </is>
      </c>
      <c r="D191" s="16" t="inlineStr">
        <is>
          <t>REMOÇÃO DE PORTAS, DE FORMA MANUAL, SEM REAPROVEITAMENTO. AF_12/2017</t>
        </is>
      </c>
      <c r="E191" s="17" t="inlineStr">
        <is>
          <t>m²</t>
        </is>
      </c>
      <c r="F191" s="18" t="n">
        <v>26.26</v>
      </c>
      <c r="G191" s="19" t="n">
        <v>7.414802089</v>
      </c>
      <c r="H191" s="19" t="str">
        <f>ROUND(G191 * (1 + 32.78 / 100), 9)</f>
      </c>
      <c r="I191" s="19" t="str">
        <f>ROUND(F191 * h191, 9)</f>
      </c>
      <c r="J191" s="20" t="str">
        <f>i191 / 1181066.0424007571906268</f>
      </c>
    </row>
    <row customHeight="1" ht="26" r="192">
      <c r="A192" s="16" t="inlineStr">
        <is>
          <t> 4.1.3 </t>
        </is>
      </c>
      <c r="B192" s="18" t="inlineStr">
        <is>
          <t> 97645 </t>
        </is>
      </c>
      <c r="C192" s="16" t="inlineStr">
        <is>
          <t>SINAPI</t>
        </is>
      </c>
      <c r="D192" s="16" t="inlineStr">
        <is>
          <t>REMOÇÃO DE JANELAS, DE FORMA MANUAL, SEM REAPROVEITAMENTO. AF_12/2017</t>
        </is>
      </c>
      <c r="E192" s="17" t="inlineStr">
        <is>
          <t>m²</t>
        </is>
      </c>
      <c r="F192" s="18" t="n">
        <v>11.42</v>
      </c>
      <c r="G192" s="19" t="n">
        <v>19.139779775</v>
      </c>
      <c r="H192" s="19" t="str">
        <f>ROUND(G192 * (1 + 32.78 / 100), 9)</f>
      </c>
      <c r="I192" s="19" t="str">
        <f>ROUND(F192 * h192, 9)</f>
      </c>
      <c r="J192" s="20" t="str">
        <f>i192 / 1181066.0424007571906268</f>
      </c>
    </row>
    <row customHeight="1" ht="26" r="193">
      <c r="A193" s="16" t="inlineStr">
        <is>
          <t> 4.1.4 </t>
        </is>
      </c>
      <c r="B193" s="18" t="inlineStr">
        <is>
          <t> 97640 </t>
        </is>
      </c>
      <c r="C193" s="16" t="inlineStr">
        <is>
          <t>SINAPI</t>
        </is>
      </c>
      <c r="D193" s="16" t="inlineStr">
        <is>
          <t>REMOÇÃO DE FORROS DE DRYWALL, PVC E FIBROMINERAL, DE FORMA MANUAL, SEM REAPROVEITAMENTO. AF_12/2017</t>
        </is>
      </c>
      <c r="E193" s="17" t="inlineStr">
        <is>
          <t>m²</t>
        </is>
      </c>
      <c r="F193" s="18" t="n">
        <v>85.61</v>
      </c>
      <c r="G193" s="19" t="n">
        <v>1.510677907</v>
      </c>
      <c r="H193" s="19" t="str">
        <f>ROUND(G193 * (1 + 32.78 / 100), 9)</f>
      </c>
      <c r="I193" s="19" t="str">
        <f>ROUND(F193 * h193, 9)</f>
      </c>
      <c r="J193" s="20" t="str">
        <f>i193 / 1181066.0424007571906268</f>
      </c>
    </row>
    <row customHeight="1" ht="39" r="194">
      <c r="A194" s="16" t="inlineStr">
        <is>
          <t> 4.1.5 </t>
        </is>
      </c>
      <c r="B194" s="18" t="inlineStr">
        <is>
          <t> 97642 </t>
        </is>
      </c>
      <c r="C194" s="16" t="inlineStr">
        <is>
          <t>SINAPI</t>
        </is>
      </c>
      <c r="D194" s="16" t="inlineStr">
        <is>
          <t>REMOÇÃO DE TRAMA METÁLICA OU DE MADEIRA PARA FORRO, DE FORMA MANUAL, SEM REAPROVEITAMENTO. AF_12/2017</t>
        </is>
      </c>
      <c r="E194" s="17" t="inlineStr">
        <is>
          <t>m²</t>
        </is>
      </c>
      <c r="F194" s="18" t="n">
        <v>85.61</v>
      </c>
      <c r="G194" s="19" t="n">
        <v>2.164248797</v>
      </c>
      <c r="H194" s="19" t="str">
        <f>ROUND(G194 * (1 + 32.78 / 100), 9)</f>
      </c>
      <c r="I194" s="19" t="str">
        <f>ROUND(F194 * h194, 9)</f>
      </c>
      <c r="J194" s="20" t="str">
        <f>i194 / 1181066.0424007571906268</f>
      </c>
    </row>
    <row customHeight="1" ht="26" r="195">
      <c r="A195" s="16" t="inlineStr">
        <is>
          <t> 4.1.6 </t>
        </is>
      </c>
      <c r="B195" s="18" t="inlineStr">
        <is>
          <t> 97633 </t>
        </is>
      </c>
      <c r="C195" s="16" t="inlineStr">
        <is>
          <t>SINAPI</t>
        </is>
      </c>
      <c r="D195" s="16" t="inlineStr">
        <is>
          <t>DEMOLIÇÃO DE REVESTIMENTO CERÂMICO, DE FORMA MANUAL, SEM REAPROVEITAMENTO. AF_12/2017</t>
        </is>
      </c>
      <c r="E195" s="17" t="inlineStr">
        <is>
          <t>m²</t>
        </is>
      </c>
      <c r="F195" s="18" t="n">
        <v>200.93</v>
      </c>
      <c r="G195" s="19" t="n">
        <v>18.431892858</v>
      </c>
      <c r="H195" s="19" t="str">
        <f>ROUND(G195 * (1 + 32.78 / 100), 9)</f>
      </c>
      <c r="I195" s="19" t="str">
        <f>ROUND(F195 * h195, 9)</f>
      </c>
      <c r="J195" s="20" t="str">
        <f>i195 / 1181066.0424007571906268</f>
      </c>
    </row>
    <row customHeight="1" ht="26" r="196">
      <c r="A196" s="16" t="inlineStr">
        <is>
          <t> 4.1.7 </t>
        </is>
      </c>
      <c r="B196" s="18" t="inlineStr">
        <is>
          <t> 97663 </t>
        </is>
      </c>
      <c r="C196" s="16" t="inlineStr">
        <is>
          <t>SINAPI</t>
        </is>
      </c>
      <c r="D196" s="16" t="inlineStr">
        <is>
          <t>REMOÇÃO DE LOUÇAS, DE FORMA MANUAL, SEM REAPROVEITAMENTO. AF_12/2017</t>
        </is>
      </c>
      <c r="E196" s="17" t="inlineStr">
        <is>
          <t>UN</t>
        </is>
      </c>
      <c r="F196" s="18" t="n">
        <v>7.0</v>
      </c>
      <c r="G196" s="19" t="n">
        <v>9.768044958</v>
      </c>
      <c r="H196" s="19" t="str">
        <f>ROUND(G196 * (1 + 32.78 / 100), 9)</f>
      </c>
      <c r="I196" s="19" t="str">
        <f>ROUND(F196 * h196, 9)</f>
      </c>
      <c r="J196" s="20" t="str">
        <f>i196 / 1181066.0424007571906268</f>
      </c>
    </row>
    <row customHeight="1" ht="52" r="197">
      <c r="A197" s="16" t="inlineStr">
        <is>
          <t> 4.1.8 </t>
        </is>
      </c>
      <c r="B197" s="18" t="inlineStr">
        <is>
          <t> 100981 </t>
        </is>
      </c>
      <c r="C197" s="16" t="inlineStr">
        <is>
          <t>SINAPI</t>
        </is>
      </c>
      <c r="D197" s="16" t="inlineStr">
        <is>
          <t>CARGA, MANOBRA E DESCARGA DE ENTULHO EM CAMINHÃO BASCULANTE 6 M³ - CARGA COM ESCAVADEIRA HIDRÁULICA  (CAÇAMBA DE 0,80 M³ / 111 HP) E DESCARGA LIVRE (UNIDADE: M3). AF_07/2020</t>
        </is>
      </c>
      <c r="E197" s="17" t="inlineStr">
        <is>
          <t>m³</t>
        </is>
      </c>
      <c r="F197" s="18" t="n">
        <v>10.0</v>
      </c>
      <c r="G197" s="19" t="n">
        <v>8.930673586</v>
      </c>
      <c r="H197" s="19" t="str">
        <f>ROUND(G197 * (1 + 32.78 / 100), 9)</f>
      </c>
      <c r="I197" s="19" t="str">
        <f>ROUND(F197 * h197, 9)</f>
      </c>
      <c r="J197" s="20" t="str">
        <f>i197 / 1181066.0424007571906268</f>
      </c>
    </row>
    <row customHeight="1" ht="26" r="198">
      <c r="A198" s="16" t="inlineStr">
        <is>
          <t> 4.1.9 </t>
        </is>
      </c>
      <c r="B198" s="18" t="inlineStr">
        <is>
          <t> 98524 </t>
        </is>
      </c>
      <c r="C198" s="16" t="inlineStr">
        <is>
          <t>SINAPI</t>
        </is>
      </c>
      <c r="D198" s="16" t="inlineStr">
        <is>
          <t>LIMPEZA MANUAL DE VEGETAÇÃO EM TERRENO COM ENXADA.AF_05/2018</t>
        </is>
      </c>
      <c r="E198" s="17" t="inlineStr">
        <is>
          <t>m²</t>
        </is>
      </c>
      <c r="F198" s="18" t="n">
        <v>4.0</v>
      </c>
      <c r="G198" s="19" t="n">
        <v>2.396901382</v>
      </c>
      <c r="H198" s="19" t="str">
        <f>ROUND(G198 * (1 + 32.78 / 100), 9)</f>
      </c>
      <c r="I198" s="19" t="str">
        <f>ROUND(F198 * h198, 9)</f>
      </c>
      <c r="J198" s="20" t="str">
        <f>i198 / 1181066.0424007571906268</f>
      </c>
    </row>
    <row customHeight="1" ht="24" r="199">
      <c r="A199" s="8" t="inlineStr">
        <is>
          <t> 4.2 </t>
        </is>
      </c>
      <c r="B199" s="8"/>
      <c r="C199" s="8"/>
      <c r="D199" s="8" t="inlineStr">
        <is>
          <t>FUNDAÇÃO / ESTRUTURA</t>
        </is>
      </c>
      <c r="E199" s="8"/>
      <c r="F199" s="10"/>
      <c r="G199" s="8"/>
      <c r="H199" s="8"/>
      <c r="I199" s="11" t="n">
        <v>4157.859351958714</v>
      </c>
      <c r="J199" s="12" t="str">
        <f>i199 / 1181066.0424007571906268</f>
      </c>
    </row>
    <row customHeight="1" ht="26" r="200">
      <c r="A200" s="16" t="inlineStr">
        <is>
          <t> 4.2.1 </t>
        </is>
      </c>
      <c r="B200" s="18" t="inlineStr">
        <is>
          <t> 96522 </t>
        </is>
      </c>
      <c r="C200" s="16" t="inlineStr">
        <is>
          <t>SINAPI</t>
        </is>
      </c>
      <c r="D200" s="16" t="inlineStr">
        <is>
          <t>ESCAVAÇÃO MANUAL PARA BLOCO DE COROAMENTO OU SAPATA, SEM PREVISÃO DE FÔRMA. AF_06/2017</t>
        </is>
      </c>
      <c r="E200" s="17" t="inlineStr">
        <is>
          <t>m³</t>
        </is>
      </c>
      <c r="F200" s="18" t="n">
        <v>0.64</v>
      </c>
      <c r="G200" s="19" t="n">
        <v>109.519572726</v>
      </c>
      <c r="H200" s="19" t="str">
        <f>ROUND(G200 * (1 + 32.78 / 100), 9)</f>
      </c>
      <c r="I200" s="19" t="str">
        <f>ROUND(F200 * h200, 9)</f>
      </c>
      <c r="J200" s="20" t="str">
        <f>i200 / 1181066.0424007571906268</f>
      </c>
    </row>
    <row customHeight="1" ht="26" r="201">
      <c r="A201" s="16" t="inlineStr">
        <is>
          <t> 4.2.2 </t>
        </is>
      </c>
      <c r="B201" s="18" t="inlineStr">
        <is>
          <t> 96546 </t>
        </is>
      </c>
      <c r="C201" s="16" t="inlineStr">
        <is>
          <t>SINAPI</t>
        </is>
      </c>
      <c r="D201" s="16" t="inlineStr">
        <is>
          <t>ARMAÇÃO DE BLOCO, VIGA BALDRAME OU SAPATA UTILIZANDO AÇO CA-50 DE 10 MM - MONTAGEM. AF_06/2017</t>
        </is>
      </c>
      <c r="E201" s="17" t="inlineStr">
        <is>
          <t>KG</t>
        </is>
      </c>
      <c r="F201" s="18" t="n">
        <v>17.0</v>
      </c>
      <c r="G201" s="19" t="n">
        <v>13.765056809</v>
      </c>
      <c r="H201" s="19" t="str">
        <f>ROUND(G201 * (1 + 32.78 / 100), 9)</f>
      </c>
      <c r="I201" s="19" t="str">
        <f>ROUND(F201 * h201, 9)</f>
      </c>
      <c r="J201" s="20" t="str">
        <f>i201 / 1181066.0424007571906268</f>
      </c>
    </row>
    <row customHeight="1" ht="39" r="202">
      <c r="A202" s="16" t="inlineStr">
        <is>
          <t> 4.2.3 </t>
        </is>
      </c>
      <c r="B202" s="18" t="inlineStr">
        <is>
          <t> 96555 </t>
        </is>
      </c>
      <c r="C202" s="16" t="inlineStr">
        <is>
          <t>SINAPI</t>
        </is>
      </c>
      <c r="D202" s="16" t="inlineStr">
        <is>
          <t>CONCRETAGEM DE BLOCOS DE COROAMENTO E VIGAS BALDRAME, FCK 30 MPA, COM USO DE JERICA  LANÇAMENTO, ADENSAMENTO E ACABAMENTO. AF_06/2017</t>
        </is>
      </c>
      <c r="E202" s="17" t="inlineStr">
        <is>
          <t>m³</t>
        </is>
      </c>
      <c r="F202" s="18" t="n">
        <v>0.64</v>
      </c>
      <c r="G202" s="19" t="n">
        <v>952.923889487</v>
      </c>
      <c r="H202" s="19" t="str">
        <f>ROUND(G202 * (1 + 32.78 / 100), 9)</f>
      </c>
      <c r="I202" s="19" t="str">
        <f>ROUND(F202 * h202, 9)</f>
      </c>
      <c r="J202" s="20" t="str">
        <f>i202 / 1181066.0424007571906268</f>
      </c>
    </row>
    <row customHeight="1" ht="26" r="203">
      <c r="A203" s="16" t="inlineStr">
        <is>
          <t> 4.2.4 </t>
        </is>
      </c>
      <c r="B203" s="18" t="inlineStr">
        <is>
          <t> 4247 </t>
        </is>
      </c>
      <c r="C203" s="16" t="inlineStr">
        <is>
          <t>ORSE</t>
        </is>
      </c>
      <c r="D203" s="16" t="inlineStr">
        <is>
          <t>PEÇA DE EUCALIPTO TRATADO, D= 19 A 22CM, L = 3,00M - FORNECIMENTO</t>
        </is>
      </c>
      <c r="E203" s="17" t="inlineStr">
        <is>
          <t>un</t>
        </is>
      </c>
      <c r="F203" s="18" t="n">
        <v>6.0</v>
      </c>
      <c r="G203" s="19" t="n">
        <v>369.57</v>
      </c>
      <c r="H203" s="19" t="str">
        <f>ROUND(G203 * (1 + 32.78 / 100), 9)</f>
      </c>
      <c r="I203" s="19" t="str">
        <f>ROUND(F203 * h203, 9)</f>
      </c>
      <c r="J203" s="20" t="str">
        <f>i203 / 1181066.0424007571906268</f>
      </c>
    </row>
    <row customHeight="1" ht="24" r="204">
      <c r="A204" s="8" t="inlineStr">
        <is>
          <t> 4.3 </t>
        </is>
      </c>
      <c r="B204" s="8"/>
      <c r="C204" s="8"/>
      <c r="D204" s="8" t="inlineStr">
        <is>
          <t>ALVENARIA E DIVISÓRIAS</t>
        </is>
      </c>
      <c r="E204" s="8"/>
      <c r="F204" s="10"/>
      <c r="G204" s="8"/>
      <c r="H204" s="8"/>
      <c r="I204" s="11" t="n">
        <v>1070.5439327211425</v>
      </c>
      <c r="J204" s="12" t="str">
        <f>i204 / 1181066.0424007571906268</f>
      </c>
    </row>
    <row customHeight="1" ht="65" r="205">
      <c r="A205" s="16" t="inlineStr">
        <is>
          <t> 4.3.1 </t>
        </is>
      </c>
      <c r="B205" s="18" t="inlineStr">
        <is>
          <t> 87514 </t>
        </is>
      </c>
      <c r="C205" s="16" t="inlineStr">
        <is>
          <t>SINAPI</t>
        </is>
      </c>
      <c r="D205" s="16" t="inlineStr">
        <is>
          <t>ALVENARIA DE VEDAÇÃO DE BLOCOS CERÂMICOS FURADOS NA HORIZONTAL DE 11,5X19X19CM (ESPESSURA 11,5CM) DE PAREDES COM ÁREA LÍQUIDA MENOR QUE 6M² COM VÃOS E ARGAMASSA DE ASSENTAMENTO COM PREPARO MANUAL. AF_06/2014</t>
        </is>
      </c>
      <c r="E205" s="17" t="inlineStr">
        <is>
          <t>m²</t>
        </is>
      </c>
      <c r="F205" s="18" t="n">
        <v>8.2</v>
      </c>
      <c r="G205" s="19" t="n">
        <v>98.323646737</v>
      </c>
      <c r="H205" s="19" t="str">
        <f>ROUND(G205 * (1 + 32.78 / 100), 9)</f>
      </c>
      <c r="I205" s="19" t="str">
        <f>ROUND(F205 * h205, 9)</f>
      </c>
      <c r="J205" s="20" t="str">
        <f>i205 / 1181066.0424007571906268</f>
      </c>
    </row>
    <row customHeight="1" ht="24" r="206">
      <c r="A206" s="8" t="inlineStr">
        <is>
          <t> 4.4 </t>
        </is>
      </c>
      <c r="B206" s="8"/>
      <c r="C206" s="8"/>
      <c r="D206" s="8" t="inlineStr">
        <is>
          <t>PAVIMENTAÇÃO</t>
        </is>
      </c>
      <c r="E206" s="8"/>
      <c r="F206" s="10"/>
      <c r="G206" s="8"/>
      <c r="H206" s="8"/>
      <c r="I206" s="11" t="n">
        <v>70194.0019176862</v>
      </c>
      <c r="J206" s="12" t="str">
        <f>i206 / 1181066.0424007571906268</f>
      </c>
    </row>
    <row customHeight="1" ht="39" r="207">
      <c r="A207" s="16" t="inlineStr">
        <is>
          <t> 4.4.1 </t>
        </is>
      </c>
      <c r="B207" s="18" t="inlineStr">
        <is>
          <t> 87622 </t>
        </is>
      </c>
      <c r="C207" s="16" t="inlineStr">
        <is>
          <t>SINAPI</t>
        </is>
      </c>
      <c r="D207" s="16" t="inlineStr">
        <is>
          <t>CONTRAPISO EM ARGAMASSA TRAÇO 1:4 (CIMENTO E AREIA), PREPARO MANUAL, APLICADO EM ÁREAS SECAS SOBRE LAJE, ADERIDO, ESPESSURA 2CM. AF_06/2014</t>
        </is>
      </c>
      <c r="E207" s="17" t="inlineStr">
        <is>
          <t>m²</t>
        </is>
      </c>
      <c r="F207" s="18" t="n">
        <v>165.01</v>
      </c>
      <c r="G207" s="19" t="n">
        <v>38.710536036</v>
      </c>
      <c r="H207" s="19" t="str">
        <f>ROUND(G207 * (1 + 32.78 / 100), 9)</f>
      </c>
      <c r="I207" s="19" t="str">
        <f>ROUND(F207 * h207, 9)</f>
      </c>
      <c r="J207" s="20" t="str">
        <f>i207 / 1181066.0424007571906268</f>
      </c>
    </row>
    <row customHeight="1" ht="39" r="208">
      <c r="A208" s="16" t="inlineStr">
        <is>
          <t> 4.4.2 </t>
        </is>
      </c>
      <c r="B208" s="18" t="inlineStr">
        <is>
          <t> 98560 </t>
        </is>
      </c>
      <c r="C208" s="16" t="inlineStr">
        <is>
          <t>SINAPI</t>
        </is>
      </c>
      <c r="D208" s="16" t="inlineStr">
        <is>
          <t>IMPERMEABILIZAÇÃO DE PISO COM ARGAMASSA DE CIMENTO E AREIA, COM ADITIVO IMPERMEABILIZANTE, E = 2CM. AF_06/2018</t>
        </is>
      </c>
      <c r="E208" s="17" t="inlineStr">
        <is>
          <t>m²</t>
        </is>
      </c>
      <c r="F208" s="18" t="n">
        <v>30.54</v>
      </c>
      <c r="G208" s="19" t="n">
        <v>48.683832556</v>
      </c>
      <c r="H208" s="19" t="str">
        <f>ROUND(G208 * (1 + 32.78 / 100), 9)</f>
      </c>
      <c r="I208" s="19" t="str">
        <f>ROUND(F208 * h208, 9)</f>
      </c>
      <c r="J208" s="20" t="str">
        <f>i208 / 1181066.0424007571906268</f>
      </c>
    </row>
    <row customHeight="1" ht="39" r="209">
      <c r="A209" s="16" t="inlineStr">
        <is>
          <t> 4.4.3 </t>
        </is>
      </c>
      <c r="B209" s="18" t="inlineStr">
        <is>
          <t> 87263 </t>
        </is>
      </c>
      <c r="C209" s="16" t="inlineStr">
        <is>
          <t>SINAPI</t>
        </is>
      </c>
      <c r="D209" s="16" t="inlineStr">
        <is>
          <t>REVESTIMENTO CERÂMICO PARA PISO COM PLACAS TIPO PORCELANATO DE DIMENSÕES 60X60 CM APLICADA EM AMBIENTES DE ÁREA MAIOR QUE 10 M². AF_06/2014</t>
        </is>
      </c>
      <c r="E209" s="17" t="inlineStr">
        <is>
          <t>m²</t>
        </is>
      </c>
      <c r="F209" s="18" t="n">
        <v>98.4</v>
      </c>
      <c r="G209" s="19" t="n">
        <v>194.396874667</v>
      </c>
      <c r="H209" s="19" t="str">
        <f>ROUND(G209 * (1 + 32.78 / 100), 9)</f>
      </c>
      <c r="I209" s="19" t="str">
        <f>ROUND(F209 * h209, 9)</f>
      </c>
      <c r="J209" s="20" t="str">
        <f>i209 / 1181066.0424007571906268</f>
      </c>
    </row>
    <row customHeight="1" ht="39" r="210">
      <c r="A210" s="16" t="inlineStr">
        <is>
          <t> 4.4.4 </t>
        </is>
      </c>
      <c r="B210" s="18" t="inlineStr">
        <is>
          <t> 87259 </t>
        </is>
      </c>
      <c r="C210" s="16" t="inlineStr">
        <is>
          <t>SINAPI</t>
        </is>
      </c>
      <c r="D210" s="16" t="inlineStr">
        <is>
          <t>REVESTIMENTO CERÂMICO PARA PISO COM PLACAS TIPO PORCELANATO DE DIMENSÕES 45X45 CM APLICADA EM AMBIENTES DE ÁREA ENTRE 5 M² E 10 M². AF_06/2014</t>
        </is>
      </c>
      <c r="E210" s="17" t="inlineStr">
        <is>
          <t>m²</t>
        </is>
      </c>
      <c r="F210" s="18" t="n">
        <v>50.26</v>
      </c>
      <c r="G210" s="19" t="n">
        <v>177.660494051</v>
      </c>
      <c r="H210" s="19" t="str">
        <f>ROUND(G210 * (1 + 32.78 / 100), 9)</f>
      </c>
      <c r="I210" s="19" t="str">
        <f>ROUND(F210 * h210, 9)</f>
      </c>
      <c r="J210" s="20" t="str">
        <f>i210 / 1181066.0424007571906268</f>
      </c>
    </row>
    <row customHeight="1" ht="39" r="211">
      <c r="A211" s="16" t="inlineStr">
        <is>
          <t> 4.4.5 </t>
        </is>
      </c>
      <c r="B211" s="18" t="inlineStr">
        <is>
          <t> 87260 </t>
        </is>
      </c>
      <c r="C211" s="16" t="inlineStr">
        <is>
          <t>SINAPI</t>
        </is>
      </c>
      <c r="D211" s="16" t="inlineStr">
        <is>
          <t>REVESTIMENTO CERÂMICO PARA PISO COM PLACAS TIPO PORCELANATO DE DIMENSÕES 45X45 CM APLICADA EM AMBIENTES DE ÁREA MAIOR QUE 10 M². AF_06/2014</t>
        </is>
      </c>
      <c r="E211" s="17" t="inlineStr">
        <is>
          <t>m²</t>
        </is>
      </c>
      <c r="F211" s="18" t="n">
        <v>16.35</v>
      </c>
      <c r="G211" s="19" t="n">
        <v>169.278213497</v>
      </c>
      <c r="H211" s="19" t="str">
        <f>ROUND(G211 * (1 + 32.78 / 100), 9)</f>
      </c>
      <c r="I211" s="19" t="str">
        <f>ROUND(F211 * h211, 9)</f>
      </c>
      <c r="J211" s="20" t="str">
        <f>i211 / 1181066.0424007571906268</f>
      </c>
    </row>
    <row customHeight="1" ht="39" r="212">
      <c r="A212" s="16" t="inlineStr">
        <is>
          <t> 4.4.6 </t>
        </is>
      </c>
      <c r="B212" s="18" t="inlineStr">
        <is>
          <t> 98680 </t>
        </is>
      </c>
      <c r="C212" s="16" t="inlineStr">
        <is>
          <t>SINAPI</t>
        </is>
      </c>
      <c r="D212" s="16" t="inlineStr">
        <is>
          <t>PISO CIMENTADO, TRAÇO 1:3 (CIMENTO E AREIA), ACABAMENTO LISO, ESPESSURA 3,0 CM, PREPARO MECÂNICO DA ARGAMASSA. AF_09/2020</t>
        </is>
      </c>
      <c r="E212" s="17" t="inlineStr">
        <is>
          <t>m²</t>
        </is>
      </c>
      <c r="F212" s="18" t="n">
        <v>120.98</v>
      </c>
      <c r="G212" s="19" t="n">
        <v>51.56269598</v>
      </c>
      <c r="H212" s="19" t="str">
        <f>ROUND(G212 * (1 + 32.78 / 100), 9)</f>
      </c>
      <c r="I212" s="19" t="str">
        <f>ROUND(F212 * h212, 9)</f>
      </c>
      <c r="J212" s="20" t="str">
        <f>i212 / 1181066.0424007571906268</f>
      </c>
    </row>
    <row customHeight="1" ht="52" r="213">
      <c r="A213" s="16" t="inlineStr">
        <is>
          <t> 4.4.7 </t>
        </is>
      </c>
      <c r="B213" s="18" t="inlineStr">
        <is>
          <t> 94992 </t>
        </is>
      </c>
      <c r="C213" s="16" t="inlineStr">
        <is>
          <t>SINAPI</t>
        </is>
      </c>
      <c r="D213" s="16" t="inlineStr">
        <is>
          <t>EXECUÇÃO DE PASSEIO (CALÇADA) OU PISO DE CONCRETO COM CONCRETO MOLDADO IN LOCO, FEITO EM OBRA, ACABAMENTO CONVENCIONAL, ESPESSURA 6 CM, ARMADO. AF_07/2016</t>
        </is>
      </c>
      <c r="E213" s="17" t="inlineStr">
        <is>
          <t>m²</t>
        </is>
      </c>
      <c r="F213" s="18" t="n">
        <v>70.0</v>
      </c>
      <c r="G213" s="19" t="n">
        <v>86.379718665</v>
      </c>
      <c r="H213" s="19" t="str">
        <f>ROUND(G213 * (1 + 32.78 / 100), 9)</f>
      </c>
      <c r="I213" s="19" t="str">
        <f>ROUND(F213 * h213, 9)</f>
      </c>
      <c r="J213" s="20" t="str">
        <f>i213 / 1181066.0424007571906268</f>
      </c>
    </row>
    <row customHeight="1" ht="26" r="214">
      <c r="A214" s="16" t="inlineStr">
        <is>
          <t> 4.4.8 </t>
        </is>
      </c>
      <c r="B214" s="18" t="inlineStr">
        <is>
          <t> 101094 </t>
        </is>
      </c>
      <c r="C214" s="16" t="inlineStr">
        <is>
          <t>SINAPI</t>
        </is>
      </c>
      <c r="D214" s="16" t="inlineStr">
        <is>
          <t>PISO PODOTÁTIL, DIRECIONAL OU ALERTA, ASSENTADO SOBRE ARGAMASSA. AF_05/2020</t>
        </is>
      </c>
      <c r="E214" s="17" t="inlineStr">
        <is>
          <t>M</t>
        </is>
      </c>
      <c r="F214" s="18" t="n">
        <v>10.0</v>
      </c>
      <c r="G214" s="19" t="n">
        <v>188.02579822</v>
      </c>
      <c r="H214" s="19" t="str">
        <f>ROUND(G214 * (1 + 32.78 / 100), 9)</f>
      </c>
      <c r="I214" s="19" t="str">
        <f>ROUND(F214 * h214, 9)</f>
      </c>
      <c r="J214" s="20" t="str">
        <f>i214 / 1181066.0424007571906268</f>
      </c>
    </row>
    <row customHeight="1" ht="24" r="215">
      <c r="A215" s="8" t="inlineStr">
        <is>
          <t> 4.5 </t>
        </is>
      </c>
      <c r="B215" s="8"/>
      <c r="C215" s="8"/>
      <c r="D215" s="8" t="inlineStr">
        <is>
          <t>SOLEIRAS, PEITORIS E RODAPÉS</t>
        </is>
      </c>
      <c r="E215" s="8"/>
      <c r="F215" s="10"/>
      <c r="G215" s="8"/>
      <c r="H215" s="8"/>
      <c r="I215" s="11" t="n">
        <v>8783.282292700631</v>
      </c>
      <c r="J215" s="12" t="str">
        <f>i215 / 1181066.0424007571906268</f>
      </c>
    </row>
    <row customHeight="1" ht="26" r="216">
      <c r="A216" s="16" t="inlineStr">
        <is>
          <t> 4.5.1 </t>
        </is>
      </c>
      <c r="B216" s="18" t="inlineStr">
        <is>
          <t> 98689 </t>
        </is>
      </c>
      <c r="C216" s="16" t="inlineStr">
        <is>
          <t>SINAPI</t>
        </is>
      </c>
      <c r="D216" s="16" t="inlineStr">
        <is>
          <t>SOLEIRA EM GRANITO, LARGURA 15 CM, ESPESSURA 2,0 CM. AF_09/2020</t>
        </is>
      </c>
      <c r="E216" s="17" t="inlineStr">
        <is>
          <t>M</t>
        </is>
      </c>
      <c r="F216" s="18" t="n">
        <v>5.45</v>
      </c>
      <c r="G216" s="19" t="n">
        <v>143.670268735</v>
      </c>
      <c r="H216" s="19" t="str">
        <f>ROUND(G216 * (1 + 32.78 / 100), 9)</f>
      </c>
      <c r="I216" s="19" t="str">
        <f>ROUND(F216 * h216, 9)</f>
      </c>
      <c r="J216" s="20" t="str">
        <f>i216 / 1181066.0424007571906268</f>
      </c>
    </row>
    <row customHeight="1" ht="39" r="217">
      <c r="A217" s="16" t="inlineStr">
        <is>
          <t> 4.5.2 </t>
        </is>
      </c>
      <c r="B217" s="18" t="inlineStr">
        <is>
          <t> 84088 </t>
        </is>
      </c>
      <c r="C217" s="16" t="inlineStr">
        <is>
          <t>SINAPI</t>
        </is>
      </c>
      <c r="D217" s="16" t="inlineStr">
        <is>
          <t>PEITORIL EM MARMORE BRANCO, LARGURA DE 15CM, ASSENTADO COM ARGAMASSA TRACO 1:4 (CIMENTO E AREIA MEDIA), PREPARO MANUAL DA ARGAMASSA</t>
        </is>
      </c>
      <c r="E217" s="17" t="inlineStr">
        <is>
          <t>M</t>
        </is>
      </c>
      <c r="F217" s="18" t="n">
        <v>20.75</v>
      </c>
      <c r="G217" s="19" t="n">
        <v>157.379006572</v>
      </c>
      <c r="H217" s="19" t="str">
        <f>ROUND(G217 * (1 + 32.78 / 100), 9)</f>
      </c>
      <c r="I217" s="19" t="str">
        <f>ROUND(F217 * h217, 9)</f>
      </c>
      <c r="J217" s="20" t="str">
        <f>i217 / 1181066.0424007571906268</f>
      </c>
    </row>
    <row customHeight="1" ht="26" r="218">
      <c r="A218" s="16" t="inlineStr">
        <is>
          <t> 4.5.3 </t>
        </is>
      </c>
      <c r="B218" s="18" t="inlineStr">
        <is>
          <t> 88650 </t>
        </is>
      </c>
      <c r="C218" s="16" t="inlineStr">
        <is>
          <t>SINAPI</t>
        </is>
      </c>
      <c r="D218" s="16" t="inlineStr">
        <is>
          <t>RODAPÉ CERÂMICO DE 7CM DE ALTURA COM PLACAS TIPO ESMALTADA EXTRA DE DIMENSÕES 60X60CM. AF_06/2014</t>
        </is>
      </c>
      <c r="E218" s="17" t="inlineStr">
        <is>
          <t>M</t>
        </is>
      </c>
      <c r="F218" s="18" t="n">
        <v>123.85</v>
      </c>
      <c r="G218" s="19" t="n">
        <v>20.721003311</v>
      </c>
      <c r="H218" s="19" t="str">
        <f>ROUND(G218 * (1 + 32.78 / 100), 9)</f>
      </c>
      <c r="I218" s="19" t="str">
        <f>ROUND(F218 * h218, 9)</f>
      </c>
      <c r="J218" s="20" t="str">
        <f>i218 / 1181066.0424007571906268</f>
      </c>
    </row>
    <row customHeight="1" ht="24" r="219">
      <c r="A219" s="8" t="inlineStr">
        <is>
          <t> 4.6 </t>
        </is>
      </c>
      <c r="B219" s="8"/>
      <c r="C219" s="8"/>
      <c r="D219" s="8" t="inlineStr">
        <is>
          <t>REVESTIMENTOS</t>
        </is>
      </c>
      <c r="E219" s="8"/>
      <c r="F219" s="10"/>
      <c r="G219" s="8"/>
      <c r="H219" s="8"/>
      <c r="I219" s="11" t="n">
        <v>22934.134779459906</v>
      </c>
      <c r="J219" s="12" t="str">
        <f>i219 / 1181066.0424007571906268</f>
      </c>
    </row>
    <row customHeight="1" ht="52" r="220">
      <c r="A220" s="16" t="inlineStr">
        <is>
          <t> 4.6.1 </t>
        </is>
      </c>
      <c r="B220" s="18" t="inlineStr">
        <is>
          <t> 87904 </t>
        </is>
      </c>
      <c r="C220" s="16" t="inlineStr">
        <is>
          <t>SINAPI</t>
        </is>
      </c>
      <c r="D220" s="16" t="inlineStr">
        <is>
          <t>CHAPISCO APLICADO EM ALVENARIA (COM PRESENÇA DE VÃOS) E ESTRUTURAS DE CONCRETO DE FACHADA, COM COLHER DE PEDREIRO.  ARGAMASSA TRAÇO 1:3 COM PREPARO MANUAL. AF_06/2014</t>
        </is>
      </c>
      <c r="E220" s="17" t="inlineStr">
        <is>
          <t>m²</t>
        </is>
      </c>
      <c r="F220" s="18" t="n">
        <v>16.4</v>
      </c>
      <c r="G220" s="19" t="n">
        <v>7.494822001</v>
      </c>
      <c r="H220" s="19" t="str">
        <f>ROUND(G220 * (1 + 32.78 / 100), 9)</f>
      </c>
      <c r="I220" s="19" t="str">
        <f>ROUND(F220 * h220, 9)</f>
      </c>
      <c r="J220" s="20" t="str">
        <f>i220 / 1181066.0424007571906268</f>
      </c>
    </row>
    <row customHeight="1" ht="65" r="221">
      <c r="A221" s="16" t="inlineStr">
        <is>
          <t> 4.6.2 </t>
        </is>
      </c>
      <c r="B221" s="18" t="inlineStr">
        <is>
          <t> 87536 </t>
        </is>
      </c>
      <c r="C221" s="16" t="inlineStr">
        <is>
          <t>SINAPI</t>
        </is>
      </c>
      <c r="D221" s="16" t="inlineStr">
        <is>
          <t>EMBOÇO, PARA RECEBIMENTO DE CERÂMICA, EM ARGAMASSA TRAÇO 1:2:8, PREPARO MANUAL, APLICADO MANUALMENTE EM FACES INTERNAS DE PAREDES, PARA AMBIENTE COM ÁREA  MAIOR QUE 10M2, ESPESSURA DE 20MM, COM EXECUÇÃO DE TALISCAS. AF_06/2014</t>
        </is>
      </c>
      <c r="E221" s="17" t="inlineStr">
        <is>
          <t>m²</t>
        </is>
      </c>
      <c r="F221" s="18" t="n">
        <v>130.06</v>
      </c>
      <c r="G221" s="19" t="n">
        <v>36.532420369</v>
      </c>
      <c r="H221" s="19" t="str">
        <f>ROUND(G221 * (1 + 32.78 / 100), 9)</f>
      </c>
      <c r="I221" s="19" t="str">
        <f>ROUND(F221 * h221, 9)</f>
      </c>
      <c r="J221" s="20" t="str">
        <f>i221 / 1181066.0424007571906268</f>
      </c>
    </row>
    <row customHeight="1" ht="65" r="222">
      <c r="A222" s="16" t="inlineStr">
        <is>
          <t> 4.6.3 </t>
        </is>
      </c>
      <c r="B222" s="18" t="inlineStr">
        <is>
          <t> 89048 </t>
        </is>
      </c>
      <c r="C222" s="16" t="inlineStr">
        <is>
          <t>SINAPI</t>
        </is>
      </c>
      <c r="D222" s="16" t="inlineStr">
        <is>
          <t>(COMPOSIÇÃO REPRESENTATIVA) DO SERVIÇO DE EMBOÇO/MASSA ÚNICA, TRAÇO 1:2:8, PREPARO MECÂNICO, COM BETONEIRA DE 400L, EM PAREDES DE AMBIENTES INTERNOS, COM EXECUÇÃO DE TALISCAS, PARA EDIFICAÇÃO HABITACIONAL MULTIFAMILIAR (PRÉDIO). AF_11/2014</t>
        </is>
      </c>
      <c r="E222" s="17" t="inlineStr">
        <is>
          <t>m²</t>
        </is>
      </c>
      <c r="F222" s="18" t="n">
        <v>16.4</v>
      </c>
      <c r="G222" s="19" t="n">
        <v>37.598176409</v>
      </c>
      <c r="H222" s="19" t="str">
        <f>ROUND(G222 * (1 + 32.78 / 100), 9)</f>
      </c>
      <c r="I222" s="19" t="str">
        <f>ROUND(F222 * h222, 9)</f>
      </c>
      <c r="J222" s="20" t="str">
        <f>i222 / 1181066.0424007571906268</f>
      </c>
    </row>
    <row customHeight="1" ht="52" r="223">
      <c r="A223" s="16" t="inlineStr">
        <is>
          <t> 4.6.4 </t>
        </is>
      </c>
      <c r="B223" s="18" t="inlineStr">
        <is>
          <t> 87274 </t>
        </is>
      </c>
      <c r="C223" s="16" t="inlineStr">
        <is>
          <t>SINAPI</t>
        </is>
      </c>
      <c r="D223" s="16" t="inlineStr">
        <is>
          <t>REVESTIMENTO CERÂMICO PARA PAREDES INTERNAS COM PLACAS TIPO ESMALTADA EXTRA DE DIMENSÕES 33X45 CM APLICADAS EM AMBIENTES DE ÁREA MENOR QUE 5 M² A MEIA ALTURA DAS PAREDES. AF_06/2014</t>
        </is>
      </c>
      <c r="E223" s="17" t="inlineStr">
        <is>
          <t>m²</t>
        </is>
      </c>
      <c r="F223" s="18" t="n">
        <v>130.06</v>
      </c>
      <c r="G223" s="19" t="n">
        <v>90.583955742</v>
      </c>
      <c r="H223" s="19" t="str">
        <f>ROUND(G223 * (1 + 32.78 / 100), 9)</f>
      </c>
      <c r="I223" s="19" t="str">
        <f>ROUND(F223 * h223, 9)</f>
      </c>
      <c r="J223" s="20" t="str">
        <f>i223 / 1181066.0424007571906268</f>
      </c>
    </row>
    <row customHeight="1" ht="24" r="224">
      <c r="A224" s="8" t="inlineStr">
        <is>
          <t> 4.7 </t>
        </is>
      </c>
      <c r="B224" s="8"/>
      <c r="C224" s="8"/>
      <c r="D224" s="8" t="inlineStr">
        <is>
          <t>ESQUADRIAS</t>
        </is>
      </c>
      <c r="E224" s="8"/>
      <c r="F224" s="10"/>
      <c r="G224" s="8"/>
      <c r="H224" s="8"/>
      <c r="I224" s="11" t="n">
        <v>35799.09760026004</v>
      </c>
      <c r="J224" s="12" t="str">
        <f>i224 / 1181066.0424007571906268</f>
      </c>
    </row>
    <row customHeight="1" ht="26" r="225">
      <c r="A225" s="16" t="inlineStr">
        <is>
          <t> 4.7.1 </t>
        </is>
      </c>
      <c r="B225" s="18" t="inlineStr">
        <is>
          <t> 102179 </t>
        </is>
      </c>
      <c r="C225" s="16" t="inlineStr">
        <is>
          <t>SINAPI</t>
        </is>
      </c>
      <c r="D225" s="16" t="inlineStr">
        <is>
          <t>INSTALAÇÃO DE VIDRO TEMPERADO, E = 6 MM, ENCAIXADO EM PERFIL U. AF_01/2021_P</t>
        </is>
      </c>
      <c r="E225" s="17" t="inlineStr">
        <is>
          <t>m²</t>
        </is>
      </c>
      <c r="F225" s="18" t="n">
        <v>11.01</v>
      </c>
      <c r="G225" s="19" t="n">
        <v>435.464260913</v>
      </c>
      <c r="H225" s="19" t="str">
        <f>ROUND(G225 * (1 + 32.78 / 100), 9)</f>
      </c>
      <c r="I225" s="19" t="str">
        <f>ROUND(F225 * h225, 9)</f>
      </c>
      <c r="J225" s="20" t="str">
        <f>i225 / 1181066.0424007571906268</f>
      </c>
    </row>
    <row customHeight="1" ht="39" r="226">
      <c r="A226" s="16" t="inlineStr">
        <is>
          <t> 4.7.2 </t>
        </is>
      </c>
      <c r="B226" s="18" t="inlineStr">
        <is>
          <t> 91341 </t>
        </is>
      </c>
      <c r="C226" s="16" t="inlineStr">
        <is>
          <t>SINAPI</t>
        </is>
      </c>
      <c r="D226" s="16" t="inlineStr">
        <is>
          <t>PORTA EM ALUMÍNIO DE ABRIR TIPO VENEZIANA COM GUARNIÇÃO, FIXAÇÃO COM PARAFUSOS - FORNECIMENTO E INSTALAÇÃO. AF_12/2019</t>
        </is>
      </c>
      <c r="E226" s="17" t="inlineStr">
        <is>
          <t>m²</t>
        </is>
      </c>
      <c r="F226" s="18" t="n">
        <v>1.89</v>
      </c>
      <c r="G226" s="19" t="n">
        <v>661.256584131</v>
      </c>
      <c r="H226" s="19" t="str">
        <f>ROUND(G226 * (1 + 32.78 / 100), 9)</f>
      </c>
      <c r="I226" s="19" t="str">
        <f>ROUND(F226 * h226, 9)</f>
      </c>
      <c r="J226" s="20" t="str">
        <f>i226 / 1181066.0424007571906268</f>
      </c>
    </row>
    <row customHeight="1" ht="39" r="227">
      <c r="A227" s="16" t="inlineStr">
        <is>
          <t> 4.7.3 </t>
        </is>
      </c>
      <c r="B227" s="18" t="inlineStr">
        <is>
          <t> 100702 </t>
        </is>
      </c>
      <c r="C227" s="16" t="inlineStr">
        <is>
          <t>SINAPI</t>
        </is>
      </c>
      <c r="D227" s="16" t="inlineStr">
        <is>
          <t>PORTA DE CORRER DE ALUMÍNIO, COM DUAS FOLHAS PARA VIDRO, INCLUSO VIDRO LISO INCOLOR, FECHADURA E PUXADOR, SEM ALIZAR. AF_12/2019</t>
        </is>
      </c>
      <c r="E227" s="17" t="inlineStr">
        <is>
          <t>m²</t>
        </is>
      </c>
      <c r="F227" s="18" t="n">
        <v>5.88</v>
      </c>
      <c r="G227" s="19" t="n">
        <v>456.717108408</v>
      </c>
      <c r="H227" s="19" t="str">
        <f>ROUND(G227 * (1 + 32.78 / 100), 9)</f>
      </c>
      <c r="I227" s="19" t="str">
        <f>ROUND(F227 * h227, 9)</f>
      </c>
      <c r="J227" s="20" t="str">
        <f>i227 / 1181066.0424007571906268</f>
      </c>
    </row>
    <row customHeight="1" ht="26" r="228">
      <c r="A228" s="16" t="inlineStr">
        <is>
          <t> 4.7.4 </t>
        </is>
      </c>
      <c r="B228" s="18" t="inlineStr">
        <is>
          <t> 99861 </t>
        </is>
      </c>
      <c r="C228" s="16" t="inlineStr">
        <is>
          <t>SINAPI</t>
        </is>
      </c>
      <c r="D228" s="16" t="inlineStr">
        <is>
          <t>GRADIL EM FERRO FIXADO EM VÃOS DE JANELAS, FORMADO POR BARRAS CHATAS DE 25X4,8 MM. AF_04/2019</t>
        </is>
      </c>
      <c r="E228" s="17" t="inlineStr">
        <is>
          <t>m²</t>
        </is>
      </c>
      <c r="F228" s="18" t="n">
        <v>21.66</v>
      </c>
      <c r="G228" s="19" t="n">
        <v>536.423415618</v>
      </c>
      <c r="H228" s="19" t="str">
        <f>ROUND(G228 * (1 + 32.78 / 100), 9)</f>
      </c>
      <c r="I228" s="19" t="str">
        <f>ROUND(F228 * h228, 9)</f>
      </c>
      <c r="J228" s="20" t="str">
        <f>i228 / 1181066.0424007571906268</f>
      </c>
    </row>
    <row customHeight="1" ht="65" r="229">
      <c r="A229" s="16" t="inlineStr">
        <is>
          <t> 4.7.5 </t>
        </is>
      </c>
      <c r="B229" s="18" t="inlineStr">
        <is>
          <t> 90842 </t>
        </is>
      </c>
      <c r="C229" s="16" t="inlineStr">
        <is>
          <t>SINAPI</t>
        </is>
      </c>
      <c r="D229" s="16" t="inlineStr">
        <is>
          <t>KIT DE PORTA DE MADEIRA PARA PINTURA, SEMI-OCA (LEVE OU MÉDIA), PADRÃO MÉDIO, 70X210CM, ESPESSURA DE 3,5CM, ITENS INCLUSOS: DOBRADIÇAS, MONTAGEM E INSTALAÇÃO DO BATENTE, FECHADURA COM EXECUÇÃO DO FURO - FORNECIMENTO E INSTALAÇÃO. AF_12/2019</t>
        </is>
      </c>
      <c r="E229" s="17" t="inlineStr">
        <is>
          <t>UN</t>
        </is>
      </c>
      <c r="F229" s="18" t="n">
        <v>5.0</v>
      </c>
      <c r="G229" s="19" t="n">
        <v>892.582904454</v>
      </c>
      <c r="H229" s="19" t="str">
        <f>ROUND(G229 * (1 + 32.78 / 100), 9)</f>
      </c>
      <c r="I229" s="19" t="str">
        <f>ROUND(F229 * h229, 9)</f>
      </c>
      <c r="J229" s="20" t="str">
        <f>i229 / 1181066.0424007571906268</f>
      </c>
    </row>
    <row customHeight="1" ht="65" r="230">
      <c r="A230" s="16" t="inlineStr">
        <is>
          <t> 4.7.6 </t>
        </is>
      </c>
      <c r="B230" s="18" t="inlineStr">
        <is>
          <t> 90843 </t>
        </is>
      </c>
      <c r="C230" s="16" t="inlineStr">
        <is>
          <t>SINAPI</t>
        </is>
      </c>
      <c r="D230" s="16" t="inlineStr">
        <is>
          <t>KIT DE PORTA DE MADEIRA PARA PINTURA, SEMI-OCA (LEVE OU MÉDIA), PADRÃO MÉDIO, 80X210CM, ESPESSURA DE 3,5CM, ITENS INCLUSOS: DOBRADIÇAS, MONTAGEM E INSTALAÇÃO DO BATENTE, FECHADURA COM EXECUÇÃO DO FURO - FORNECIMENTO E INSTALAÇÃO. AF_12/2019</t>
        </is>
      </c>
      <c r="E230" s="17" t="inlineStr">
        <is>
          <t>UN</t>
        </is>
      </c>
      <c r="F230" s="18" t="n">
        <v>2.0</v>
      </c>
      <c r="G230" s="19" t="n">
        <v>941.184439012</v>
      </c>
      <c r="H230" s="19" t="str">
        <f>ROUND(G230 * (1 + 32.78 / 100), 9)</f>
      </c>
      <c r="I230" s="19" t="str">
        <f>ROUND(F230 * h230, 9)</f>
      </c>
      <c r="J230" s="20" t="str">
        <f>i230 / 1181066.0424007571906268</f>
      </c>
    </row>
    <row customHeight="1" ht="26" r="231">
      <c r="A231" s="16" t="inlineStr">
        <is>
          <t> 4.7.7 </t>
        </is>
      </c>
      <c r="B231" s="18" t="inlineStr">
        <is>
          <t> 100704 </t>
        </is>
      </c>
      <c r="C231" s="16" t="inlineStr">
        <is>
          <t>SINAPI</t>
        </is>
      </c>
      <c r="D231" s="16" t="inlineStr">
        <is>
          <t>PORTA CADEADO ZINCADO OXIDADO PRETO COM CADEADO DE AÇO INOX, LARGURA DE *50* MM. AF_12/2019 (EF05)</t>
        </is>
      </c>
      <c r="E231" s="17" t="inlineStr">
        <is>
          <t>UN</t>
        </is>
      </c>
      <c r="F231" s="18" t="n">
        <v>4.0</v>
      </c>
      <c r="G231" s="19" t="n">
        <v>66.816148569</v>
      </c>
      <c r="H231" s="19" t="str">
        <f>ROUND(G231 * (1 + 32.78 / 100), 9)</f>
      </c>
      <c r="I231" s="19" t="str">
        <f>ROUND(F231 * h231, 9)</f>
      </c>
      <c r="J231" s="20" t="str">
        <f>i231 / 1181066.0424007571906268</f>
      </c>
    </row>
    <row customHeight="1" ht="24" r="232">
      <c r="A232" s="8" t="inlineStr">
        <is>
          <t> 4.8 </t>
        </is>
      </c>
      <c r="B232" s="8"/>
      <c r="C232" s="8"/>
      <c r="D232" s="8" t="inlineStr">
        <is>
          <t>COBERTURA (Estrutura e telhas)</t>
        </is>
      </c>
      <c r="E232" s="8"/>
      <c r="F232" s="10"/>
      <c r="G232" s="8"/>
      <c r="H232" s="8"/>
      <c r="I232" s="11" t="n">
        <v>14240.933274157027</v>
      </c>
      <c r="J232" s="12" t="str">
        <f>i232 / 1181066.0424007571906268</f>
      </c>
    </row>
    <row customHeight="1" ht="52" r="233">
      <c r="A233" s="16" t="inlineStr">
        <is>
          <t> 4.8.1 </t>
        </is>
      </c>
      <c r="B233" s="18" t="inlineStr">
        <is>
          <t> 92541 </t>
        </is>
      </c>
      <c r="C233" s="16" t="inlineStr">
        <is>
          <t>SINAPI</t>
        </is>
      </c>
      <c r="D233" s="16" t="inlineStr">
        <is>
          <t>TRAMA DE MADEIRA COMPOSTA POR RIPAS, CAIBROS E TERÇAS PARA TELHADOS DE ATÉ 2 ÁGUAS PARA TELHA CERÂMICA CAPA-CANAL, INCLUSO TRANSPORTE VERTICAL. AF_07/2019</t>
        </is>
      </c>
      <c r="E233" s="17" t="inlineStr">
        <is>
          <t>m²</t>
        </is>
      </c>
      <c r="F233" s="18" t="n">
        <v>39.6</v>
      </c>
      <c r="G233" s="19" t="n">
        <v>52.288113131</v>
      </c>
      <c r="H233" s="19" t="str">
        <f>ROUND(G233 * (1 + 32.78 / 100), 9)</f>
      </c>
      <c r="I233" s="19" t="str">
        <f>ROUND(F233 * h233, 9)</f>
      </c>
      <c r="J233" s="20" t="str">
        <f>i233 / 1181066.0424007571906268</f>
      </c>
    </row>
    <row customHeight="1" ht="39" r="234">
      <c r="A234" s="16" t="inlineStr">
        <is>
          <t> 4.8.2 </t>
        </is>
      </c>
      <c r="B234" s="18" t="inlineStr">
        <is>
          <t> 94445 </t>
        </is>
      </c>
      <c r="C234" s="16" t="inlineStr">
        <is>
          <t>SINAPI</t>
        </is>
      </c>
      <c r="D234" s="16" t="inlineStr">
        <is>
          <t>TELHAMENTO COM TELHA CERÂMICA CAPA-CANAL, TIPO PLAN, COM ATÉ 2 ÁGUAS, INCLUSO TRANSPORTE VERTICAL. AF_07/2019</t>
        </is>
      </c>
      <c r="E234" s="17" t="inlineStr">
        <is>
          <t>m²</t>
        </is>
      </c>
      <c r="F234" s="18" t="n">
        <v>39.6</v>
      </c>
      <c r="G234" s="19" t="n">
        <v>59.115345155</v>
      </c>
      <c r="H234" s="19" t="str">
        <f>ROUND(G234 * (1 + 32.78 / 100), 9)</f>
      </c>
      <c r="I234" s="19" t="str">
        <f>ROUND(F234 * h234, 9)</f>
      </c>
      <c r="J234" s="20" t="str">
        <f>i234 / 1181066.0424007571906268</f>
      </c>
    </row>
    <row customHeight="1" ht="26" r="235">
      <c r="A235" s="16" t="inlineStr">
        <is>
          <t> 4.8.3 </t>
        </is>
      </c>
      <c r="B235" s="18" t="inlineStr">
        <is>
          <t> 00000181 </t>
        </is>
      </c>
      <c r="C235" s="16" t="inlineStr">
        <is>
          <t>Próprio</t>
        </is>
      </c>
      <c r="D235" s="16" t="inlineStr">
        <is>
          <t>REVISÃO DE COBERTURA (INCLUINDO A TROCA DE TELHAS E ESTRUTURA EM ATÉ 15%)</t>
        </is>
      </c>
      <c r="E235" s="17" t="inlineStr">
        <is>
          <t>m²</t>
        </is>
      </c>
      <c r="F235" s="18" t="n">
        <v>144.49</v>
      </c>
      <c r="G235" s="19" t="n">
        <v>36.538094106</v>
      </c>
      <c r="H235" s="19" t="str">
        <f>ROUND(G235 * (1 + 32.78 / 100), 9)</f>
      </c>
      <c r="I235" s="19" t="str">
        <f>ROUND(F235 * h235, 9)</f>
      </c>
      <c r="J235" s="20" t="str">
        <f>i235 / 1181066.0424007571906268</f>
      </c>
    </row>
    <row customHeight="1" ht="24" r="236">
      <c r="A236" s="16" t="inlineStr">
        <is>
          <t> 4.8.4 </t>
        </is>
      </c>
      <c r="B236" s="18" t="inlineStr">
        <is>
          <t> 278 </t>
        </is>
      </c>
      <c r="C236" s="16" t="inlineStr">
        <is>
          <t>ORSE</t>
        </is>
      </c>
      <c r="D236" s="16" t="inlineStr">
        <is>
          <t>LIMPEZA (LAVAGEM) DE TELHAS</t>
        </is>
      </c>
      <c r="E236" s="17" t="inlineStr">
        <is>
          <t>m²</t>
        </is>
      </c>
      <c r="F236" s="18" t="n">
        <v>144.49</v>
      </c>
      <c r="G236" s="19" t="n">
        <v>3.4924068</v>
      </c>
      <c r="H236" s="19" t="str">
        <f>ROUND(G236 * (1 + 32.78 / 100), 9)</f>
      </c>
      <c r="I236" s="19" t="str">
        <f>ROUND(F236 * h236, 9)</f>
      </c>
      <c r="J236" s="20" t="str">
        <f>i236 / 1181066.0424007571906268</f>
      </c>
    </row>
    <row customHeight="1" ht="24" r="237">
      <c r="A237" s="16" t="inlineStr">
        <is>
          <t> 4.8.5 </t>
        </is>
      </c>
      <c r="B237" s="18" t="inlineStr">
        <is>
          <t> 304 </t>
        </is>
      </c>
      <c r="C237" s="16" t="inlineStr">
        <is>
          <t>ORSE</t>
        </is>
      </c>
      <c r="D237" s="16" t="inlineStr">
        <is>
          <t>RUFO DE CONCRETO ARMADO FCK=20MPA L=30CM E H=5CM</t>
        </is>
      </c>
      <c r="E237" s="17" t="inlineStr">
        <is>
          <t>m</t>
        </is>
      </c>
      <c r="F237" s="18" t="n">
        <v>14.0</v>
      </c>
      <c r="G237" s="19" t="n">
        <v>37.83039652</v>
      </c>
      <c r="H237" s="19" t="str">
        <f>ROUND(G237 * (1 + 32.78 / 100), 9)</f>
      </c>
      <c r="I237" s="19" t="str">
        <f>ROUND(F237 * h237, 9)</f>
      </c>
      <c r="J237" s="20" t="str">
        <f>i237 / 1181066.0424007571906268</f>
      </c>
    </row>
    <row customHeight="1" ht="24" r="238">
      <c r="A238" s="8" t="inlineStr">
        <is>
          <t> 4.9 </t>
        </is>
      </c>
      <c r="B238" s="8"/>
      <c r="C238" s="8"/>
      <c r="D238" s="8" t="inlineStr">
        <is>
          <t>INSTALAÇÕES</t>
        </is>
      </c>
      <c r="E238" s="8"/>
      <c r="F238" s="10"/>
      <c r="G238" s="8"/>
      <c r="H238" s="8"/>
      <c r="I238" s="11" t="n">
        <v>57825.327695912485</v>
      </c>
      <c r="J238" s="12" t="str">
        <f>i238 / 1181066.0424007571906268</f>
      </c>
    </row>
    <row customHeight="1" ht="24" r="239">
      <c r="A239" s="8" t="inlineStr">
        <is>
          <t> 4.9.1 </t>
        </is>
      </c>
      <c r="B239" s="8"/>
      <c r="C239" s="8"/>
      <c r="D239" s="8" t="inlineStr">
        <is>
          <t>Elétrica</t>
        </is>
      </c>
      <c r="E239" s="8"/>
      <c r="F239" s="10"/>
      <c r="G239" s="8"/>
      <c r="H239" s="8"/>
      <c r="I239" s="11" t="n">
        <v>30788.9670975963</v>
      </c>
      <c r="J239" s="12" t="str">
        <f>i239 / 1181066.0424007571906268</f>
      </c>
    </row>
    <row customHeight="1" ht="24" r="240">
      <c r="A240" s="16" t="inlineStr">
        <is>
          <t> 4.9.1.1 </t>
        </is>
      </c>
      <c r="B240" s="18" t="inlineStr">
        <is>
          <t> 059670 </t>
        </is>
      </c>
      <c r="C240" s="16" t="inlineStr">
        <is>
          <t>SBC</t>
        </is>
      </c>
      <c r="D240" s="16" t="inlineStr">
        <is>
          <t>BUCHA E ARRUELA 3/4""</t>
        </is>
      </c>
      <c r="E240" s="17" t="inlineStr">
        <is>
          <t>CJ</t>
        </is>
      </c>
      <c r="F240" s="18" t="n">
        <v>126.0</v>
      </c>
      <c r="G240" s="19" t="n">
        <v>7.11878</v>
      </c>
      <c r="H240" s="19" t="str">
        <f>ROUND(G240 * (1 + 32.78 / 100), 9)</f>
      </c>
      <c r="I240" s="19" t="str">
        <f>ROUND(F240 * h240, 9)</f>
      </c>
      <c r="J240" s="20" t="str">
        <f>i240 / 1181066.0424007571906268</f>
      </c>
    </row>
    <row customHeight="1" ht="24" r="241">
      <c r="A241" s="16" t="inlineStr">
        <is>
          <t> 4.9.1.2 </t>
        </is>
      </c>
      <c r="B241" s="18" t="inlineStr">
        <is>
          <t> 059080 </t>
        </is>
      </c>
      <c r="C241" s="16" t="inlineStr">
        <is>
          <t>SBC</t>
        </is>
      </c>
      <c r="D241" s="16" t="inlineStr">
        <is>
          <t>BUCHA E ARRUELA 1""</t>
        </is>
      </c>
      <c r="E241" s="17" t="inlineStr">
        <is>
          <t>CJ</t>
        </is>
      </c>
      <c r="F241" s="18" t="n">
        <v>20.0</v>
      </c>
      <c r="G241" s="19" t="n">
        <v>9.0904</v>
      </c>
      <c r="H241" s="19" t="str">
        <f>ROUND(G241 * (1 + 32.78 / 100), 9)</f>
      </c>
      <c r="I241" s="19" t="str">
        <f>ROUND(F241 * h241, 9)</f>
      </c>
      <c r="J241" s="20" t="str">
        <f>i241 / 1181066.0424007571906268</f>
      </c>
    </row>
    <row customHeight="1" ht="39" r="242">
      <c r="A242" s="16" t="inlineStr">
        <is>
          <t> 4.9.1.3 </t>
        </is>
      </c>
      <c r="B242" s="18" t="inlineStr">
        <is>
          <t> 91926 </t>
        </is>
      </c>
      <c r="C242" s="16" t="inlineStr">
        <is>
          <t>SINAPI</t>
        </is>
      </c>
      <c r="D242" s="16" t="inlineStr">
        <is>
          <t>CABO DE COBRE FLEXÍVEL ISOLADO, 2,5 MM², ANTI-CHAMA 450/750 V, PARA CIRCUITOS TERMINAIS - FORNECIMENTO E INSTALAÇÃO. AF_12/2015</t>
        </is>
      </c>
      <c r="E242" s="17" t="inlineStr">
        <is>
          <t>M</t>
        </is>
      </c>
      <c r="F242" s="18" t="n">
        <v>400.0</v>
      </c>
      <c r="G242" s="19" t="n">
        <v>4.28819155</v>
      </c>
      <c r="H242" s="19" t="str">
        <f>ROUND(G242 * (1 + 32.78 / 100), 9)</f>
      </c>
      <c r="I242" s="19" t="str">
        <f>ROUND(F242 * h242, 9)</f>
      </c>
      <c r="J242" s="20" t="str">
        <f>i242 / 1181066.0424007571906268</f>
      </c>
    </row>
    <row customHeight="1" ht="39" r="243">
      <c r="A243" s="16" t="inlineStr">
        <is>
          <t> 4.9.1.4 </t>
        </is>
      </c>
      <c r="B243" s="18" t="inlineStr">
        <is>
          <t> 91926 </t>
        </is>
      </c>
      <c r="C243" s="16" t="inlineStr">
        <is>
          <t>SINAPI</t>
        </is>
      </c>
      <c r="D243" s="16" t="inlineStr">
        <is>
          <t>CABO DE COBRE FLEXÍVEL ISOLADO, 2,5 MM², ANTI-CHAMA 450/750 V, PARA CIRCUITOS TERMINAIS - FORNECIMENTO E INSTALAÇÃO. AF_12/2015</t>
        </is>
      </c>
      <c r="E243" s="17" t="inlineStr">
        <is>
          <t>M</t>
        </is>
      </c>
      <c r="F243" s="18" t="n">
        <v>400.0</v>
      </c>
      <c r="G243" s="19" t="n">
        <v>4.28819155</v>
      </c>
      <c r="H243" s="19" t="str">
        <f>ROUND(G243 * (1 + 32.78 / 100), 9)</f>
      </c>
      <c r="I243" s="19" t="str">
        <f>ROUND(F243 * h243, 9)</f>
      </c>
      <c r="J243" s="20" t="str">
        <f>i243 / 1181066.0424007571906268</f>
      </c>
    </row>
    <row customHeight="1" ht="39" r="244">
      <c r="A244" s="16" t="inlineStr">
        <is>
          <t> 4.9.1.5 </t>
        </is>
      </c>
      <c r="B244" s="18" t="inlineStr">
        <is>
          <t> 91926 </t>
        </is>
      </c>
      <c r="C244" s="16" t="inlineStr">
        <is>
          <t>SINAPI</t>
        </is>
      </c>
      <c r="D244" s="16" t="inlineStr">
        <is>
          <t>CABO DE COBRE FLEXÍVEL ISOLADO, 2,5 MM², ANTI-CHAMA 450/750 V, PARA CIRCUITOS TERMINAIS - FORNECIMENTO E INSTALAÇÃO. AF_12/2015</t>
        </is>
      </c>
      <c r="E244" s="17" t="inlineStr">
        <is>
          <t>M</t>
        </is>
      </c>
      <c r="F244" s="18" t="n">
        <v>300.0</v>
      </c>
      <c r="G244" s="19" t="n">
        <v>4.28819155</v>
      </c>
      <c r="H244" s="19" t="str">
        <f>ROUND(G244 * (1 + 32.78 / 100), 9)</f>
      </c>
      <c r="I244" s="19" t="str">
        <f>ROUND(F244 * h244, 9)</f>
      </c>
      <c r="J244" s="20" t="str">
        <f>i244 / 1181066.0424007571906268</f>
      </c>
    </row>
    <row customHeight="1" ht="39" r="245">
      <c r="A245" s="16" t="inlineStr">
        <is>
          <t> 4.9.1.6 </t>
        </is>
      </c>
      <c r="B245" s="18" t="inlineStr">
        <is>
          <t> 91926 </t>
        </is>
      </c>
      <c r="C245" s="16" t="inlineStr">
        <is>
          <t>SINAPI</t>
        </is>
      </c>
      <c r="D245" s="16" t="inlineStr">
        <is>
          <t>CABO DE COBRE FLEXÍVEL ISOLADO, 2,5 MM², ANTI-CHAMA 450/750 V, PARA CIRCUITOS TERMINAIS - FORNECIMENTO E INSTALAÇÃO. AF_12/2015</t>
        </is>
      </c>
      <c r="E245" s="17" t="inlineStr">
        <is>
          <t>M</t>
        </is>
      </c>
      <c r="F245" s="18" t="n">
        <v>200.0</v>
      </c>
      <c r="G245" s="19" t="n">
        <v>4.28819155</v>
      </c>
      <c r="H245" s="19" t="str">
        <f>ROUND(G245 * (1 + 32.78 / 100), 9)</f>
      </c>
      <c r="I245" s="19" t="str">
        <f>ROUND(F245 * h245, 9)</f>
      </c>
      <c r="J245" s="20" t="str">
        <f>i245 / 1181066.0424007571906268</f>
      </c>
    </row>
    <row customHeight="1" ht="39" r="246">
      <c r="A246" s="16" t="inlineStr">
        <is>
          <t> 4.9.1.7 </t>
        </is>
      </c>
      <c r="B246" s="18" t="inlineStr">
        <is>
          <t> 91928 </t>
        </is>
      </c>
      <c r="C246" s="16" t="inlineStr">
        <is>
          <t>SINAPI</t>
        </is>
      </c>
      <c r="D246" s="16" t="inlineStr">
        <is>
          <t>CABO DE COBRE FLEXÍVEL ISOLADO, 4 MM², ANTI-CHAMA 450/750 V, PARA CIRCUITOS TERMINAIS - FORNECIMENTO E INSTALAÇÃO. AF_12/2015</t>
        </is>
      </c>
      <c r="E246" s="17" t="inlineStr">
        <is>
          <t>M</t>
        </is>
      </c>
      <c r="F246" s="18" t="n">
        <v>100.0</v>
      </c>
      <c r="G246" s="19" t="n">
        <v>6.672715119</v>
      </c>
      <c r="H246" s="19" t="str">
        <f>ROUND(G246 * (1 + 32.78 / 100), 9)</f>
      </c>
      <c r="I246" s="19" t="str">
        <f>ROUND(F246 * h246, 9)</f>
      </c>
      <c r="J246" s="20" t="str">
        <f>i246 / 1181066.0424007571906268</f>
      </c>
    </row>
    <row customHeight="1" ht="39" r="247">
      <c r="A247" s="16" t="inlineStr">
        <is>
          <t> 4.9.1.8 </t>
        </is>
      </c>
      <c r="B247" s="18" t="inlineStr">
        <is>
          <t> 91928 </t>
        </is>
      </c>
      <c r="C247" s="16" t="inlineStr">
        <is>
          <t>SINAPI</t>
        </is>
      </c>
      <c r="D247" s="16" t="inlineStr">
        <is>
          <t>CABO DE COBRE FLEXÍVEL ISOLADO, 4 MM², ANTI-CHAMA 450/750 V, PARA CIRCUITOS TERMINAIS - FORNECIMENTO E INSTALAÇÃO. AF_12/2015</t>
        </is>
      </c>
      <c r="E247" s="17" t="inlineStr">
        <is>
          <t>M</t>
        </is>
      </c>
      <c r="F247" s="18" t="n">
        <v>50.0</v>
      </c>
      <c r="G247" s="19" t="n">
        <v>6.672715119</v>
      </c>
      <c r="H247" s="19" t="str">
        <f>ROUND(G247 * (1 + 32.78 / 100), 9)</f>
      </c>
      <c r="I247" s="19" t="str">
        <f>ROUND(F247 * h247, 9)</f>
      </c>
      <c r="J247" s="20" t="str">
        <f>i247 / 1181066.0424007571906268</f>
      </c>
    </row>
    <row customHeight="1" ht="39" r="248">
      <c r="A248" s="16" t="inlineStr">
        <is>
          <t> 4.9.1.9 </t>
        </is>
      </c>
      <c r="B248" s="18" t="inlineStr">
        <is>
          <t> 91930 </t>
        </is>
      </c>
      <c r="C248" s="16" t="inlineStr">
        <is>
          <t>SINAPI</t>
        </is>
      </c>
      <c r="D248" s="16" t="inlineStr">
        <is>
          <t>CABO DE COBRE FLEXÍVEL ISOLADO, 6 MM², ANTI-CHAMA 450/750 V, PARA CIRCUITOS TERMINAIS - FORNECIMENTO E INSTALAÇÃO. AF_12/2015</t>
        </is>
      </c>
      <c r="E248" s="17" t="inlineStr">
        <is>
          <t>M</t>
        </is>
      </c>
      <c r="F248" s="18" t="n">
        <v>50.0</v>
      </c>
      <c r="G248" s="19" t="n">
        <v>9.340173002</v>
      </c>
      <c r="H248" s="19" t="str">
        <f>ROUND(G248 * (1 + 32.78 / 100), 9)</f>
      </c>
      <c r="I248" s="19" t="str">
        <f>ROUND(F248 * h248, 9)</f>
      </c>
      <c r="J248" s="20" t="str">
        <f>i248 / 1181066.0424007571906268</f>
      </c>
    </row>
    <row customHeight="1" ht="39" r="249">
      <c r="A249" s="16" t="inlineStr">
        <is>
          <t> 4.9.1.10 </t>
        </is>
      </c>
      <c r="B249" s="18" t="inlineStr">
        <is>
          <t> 91930 </t>
        </is>
      </c>
      <c r="C249" s="16" t="inlineStr">
        <is>
          <t>SINAPI</t>
        </is>
      </c>
      <c r="D249" s="16" t="inlineStr">
        <is>
          <t>CABO DE COBRE FLEXÍVEL ISOLADO, 6 MM², ANTI-CHAMA 450/750 V, PARA CIRCUITOS TERMINAIS - FORNECIMENTO E INSTALAÇÃO. AF_12/2015</t>
        </is>
      </c>
      <c r="E249" s="17" t="inlineStr">
        <is>
          <t>M</t>
        </is>
      </c>
      <c r="F249" s="18" t="n">
        <v>25.0</v>
      </c>
      <c r="G249" s="19" t="n">
        <v>9.340173002</v>
      </c>
      <c r="H249" s="19" t="str">
        <f>ROUND(G249 * (1 + 32.78 / 100), 9)</f>
      </c>
      <c r="I249" s="19" t="str">
        <f>ROUND(F249 * h249, 9)</f>
      </c>
      <c r="J249" s="20" t="str">
        <f>i249 / 1181066.0424007571906268</f>
      </c>
    </row>
    <row customHeight="1" ht="39" r="250">
      <c r="A250" s="16" t="inlineStr">
        <is>
          <t> 4.9.1.11 </t>
        </is>
      </c>
      <c r="B250" s="18" t="inlineStr">
        <is>
          <t> 91934 </t>
        </is>
      </c>
      <c r="C250" s="16" t="inlineStr">
        <is>
          <t>SINAPI</t>
        </is>
      </c>
      <c r="D250" s="16" t="inlineStr">
        <is>
          <t>CABO DE COBRE FLEXÍVEL ISOLADO, 16 MM², ANTI-CHAMA 450/750 V, PARA CIRCUITOS TERMINAIS - FORNECIMENTO E INSTALAÇÃO. AF_12/2015</t>
        </is>
      </c>
      <c r="E250" s="17" t="inlineStr">
        <is>
          <t>M</t>
        </is>
      </c>
      <c r="F250" s="18" t="n">
        <v>15.0</v>
      </c>
      <c r="G250" s="19" t="n">
        <v>24.258225887</v>
      </c>
      <c r="H250" s="19" t="str">
        <f>ROUND(G250 * (1 + 32.78 / 100), 9)</f>
      </c>
      <c r="I250" s="19" t="str">
        <f>ROUND(F250 * h250, 9)</f>
      </c>
      <c r="J250" s="20" t="str">
        <f>i250 / 1181066.0424007571906268</f>
      </c>
    </row>
    <row customHeight="1" ht="39" r="251">
      <c r="A251" s="16" t="inlineStr">
        <is>
          <t> 4.9.1.12 </t>
        </is>
      </c>
      <c r="B251" s="18" t="inlineStr">
        <is>
          <t> 91934 </t>
        </is>
      </c>
      <c r="C251" s="16" t="inlineStr">
        <is>
          <t>SINAPI</t>
        </is>
      </c>
      <c r="D251" s="16" t="inlineStr">
        <is>
          <t>CABO DE COBRE FLEXÍVEL ISOLADO, 16 MM², ANTI-CHAMA 450/750 V, PARA CIRCUITOS TERMINAIS - FORNECIMENTO E INSTALAÇÃO. AF_12/2015</t>
        </is>
      </c>
      <c r="E251" s="17" t="inlineStr">
        <is>
          <t>M</t>
        </is>
      </c>
      <c r="F251" s="18" t="n">
        <v>55.0</v>
      </c>
      <c r="G251" s="19" t="n">
        <v>24.258225887</v>
      </c>
      <c r="H251" s="19" t="str">
        <f>ROUND(G251 * (1 + 32.78 / 100), 9)</f>
      </c>
      <c r="I251" s="19" t="str">
        <f>ROUND(F251 * h251, 9)</f>
      </c>
      <c r="J251" s="20" t="str">
        <f>i251 / 1181066.0424007571906268</f>
      </c>
    </row>
    <row customHeight="1" ht="39" r="252">
      <c r="A252" s="16" t="inlineStr">
        <is>
          <t> 4.9.1.13 </t>
        </is>
      </c>
      <c r="B252" s="18" t="inlineStr">
        <is>
          <t> 91934 </t>
        </is>
      </c>
      <c r="C252" s="16" t="inlineStr">
        <is>
          <t>SINAPI</t>
        </is>
      </c>
      <c r="D252" s="16" t="inlineStr">
        <is>
          <t>CABO DE COBRE FLEXÍVEL ISOLADO, 16 MM², ANTI-CHAMA 450/750 V, PARA CIRCUITOS TERMINAIS - FORNECIMENTO E INSTALAÇÃO. AF_12/2015</t>
        </is>
      </c>
      <c r="E252" s="17" t="inlineStr">
        <is>
          <t>M</t>
        </is>
      </c>
      <c r="F252" s="18" t="n">
        <v>20.0</v>
      </c>
      <c r="G252" s="19" t="n">
        <v>24.258225887</v>
      </c>
      <c r="H252" s="19" t="str">
        <f>ROUND(G252 * (1 + 32.78 / 100), 9)</f>
      </c>
      <c r="I252" s="19" t="str">
        <f>ROUND(F252 * h252, 9)</f>
      </c>
      <c r="J252" s="20" t="str">
        <f>i252 / 1181066.0424007571906268</f>
      </c>
    </row>
    <row customHeight="1" ht="39" r="253">
      <c r="A253" s="16" t="inlineStr">
        <is>
          <t> 4.9.1.14 </t>
        </is>
      </c>
      <c r="B253" s="18" t="inlineStr">
        <is>
          <t> 91854 </t>
        </is>
      </c>
      <c r="C253" s="16" t="inlineStr">
        <is>
          <t>SINAPI</t>
        </is>
      </c>
      <c r="D253" s="16" t="inlineStr">
        <is>
          <t>ELETRODUTO FLEXÍVEL CORRUGADO, PVC, DN 25 MM (3/4"), PARA CIRCUITOS TERMINAIS, INSTALADO EM PAREDE - FORNECIMENTO E INSTALAÇÃO. AF_12/2015</t>
        </is>
      </c>
      <c r="E253" s="17" t="inlineStr">
        <is>
          <t>M</t>
        </is>
      </c>
      <c r="F253" s="18" t="n">
        <v>213.0</v>
      </c>
      <c r="G253" s="19" t="n">
        <v>8.719031025</v>
      </c>
      <c r="H253" s="19" t="str">
        <f>ROUND(G253 * (1 + 32.78 / 100), 9)</f>
      </c>
      <c r="I253" s="19" t="str">
        <f>ROUND(F253 * h253, 9)</f>
      </c>
      <c r="J253" s="20" t="str">
        <f>i253 / 1181066.0424007571906268</f>
      </c>
    </row>
    <row customHeight="1" ht="39" r="254">
      <c r="A254" s="16" t="inlineStr">
        <is>
          <t> 4.9.1.15 </t>
        </is>
      </c>
      <c r="B254" s="18" t="inlineStr">
        <is>
          <t> 91836 </t>
        </is>
      </c>
      <c r="C254" s="16" t="inlineStr">
        <is>
          <t>SINAPI</t>
        </is>
      </c>
      <c r="D254" s="16" t="inlineStr">
        <is>
          <t>ELETRODUTO FLEXÍVEL CORRUGADO, PVC, DN 32 MM (1"), PARA CIRCUITOS TERMINAIS, INSTALADO EM FORRO - FORNECIMENTO E INSTALAÇÃO. AF_12/2015</t>
        </is>
      </c>
      <c r="E254" s="17" t="inlineStr">
        <is>
          <t>M</t>
        </is>
      </c>
      <c r="F254" s="18" t="n">
        <v>54.0</v>
      </c>
      <c r="G254" s="19" t="n">
        <v>20.343035581</v>
      </c>
      <c r="H254" s="19" t="str">
        <f>ROUND(G254 * (1 + 32.78 / 100), 9)</f>
      </c>
      <c r="I254" s="19" t="str">
        <f>ROUND(F254 * h254, 9)</f>
      </c>
      <c r="J254" s="20" t="str">
        <f>i254 / 1181066.0424007571906268</f>
      </c>
    </row>
    <row customHeight="1" ht="39" r="255">
      <c r="A255" s="16" t="inlineStr">
        <is>
          <t> 4.9.1.16 </t>
        </is>
      </c>
      <c r="B255" s="18" t="inlineStr">
        <is>
          <t> 91860 </t>
        </is>
      </c>
      <c r="C255" s="16" t="inlineStr">
        <is>
          <t>SINAPI</t>
        </is>
      </c>
      <c r="D255" s="16" t="inlineStr">
        <is>
          <t>ELETRODUTO FLEXÍVEL CORRUGADO, PEAD, DN 40 MM (1 1/4"), PARA CIRCUITOS TERMINAIS, INSTALADO EM PAREDE - FORNECIMENTO E INSTALAÇÃO. AF_12/2015</t>
        </is>
      </c>
      <c r="E255" s="17" t="inlineStr">
        <is>
          <t>M</t>
        </is>
      </c>
      <c r="F255" s="18" t="n">
        <v>18.0</v>
      </c>
      <c r="G255" s="19" t="n">
        <v>11.669736045</v>
      </c>
      <c r="H255" s="19" t="str">
        <f>ROUND(G255 * (1 + 32.78 / 100), 9)</f>
      </c>
      <c r="I255" s="19" t="str">
        <f>ROUND(F255 * h255, 9)</f>
      </c>
      <c r="J255" s="20" t="str">
        <f>i255 / 1181066.0424007571906268</f>
      </c>
    </row>
    <row customHeight="1" ht="39" r="256">
      <c r="A256" s="16" t="inlineStr">
        <is>
          <t> 4.9.1.17 </t>
        </is>
      </c>
      <c r="B256" s="18" t="inlineStr">
        <is>
          <t> 91890 </t>
        </is>
      </c>
      <c r="C256" s="16" t="inlineStr">
        <is>
          <t>SINAPI</t>
        </is>
      </c>
      <c r="D256" s="16" t="inlineStr">
        <is>
          <t>CURVA 90 GRAUS PARA ELETRODUTO, PVC, ROSCÁVEL, DN 25 MM (3/4"), PARA CIRCUITOS TERMINAIS, INSTALADA EM FORRO - FORNECIMENTO E INSTALAÇÃO. AF_12/2015</t>
        </is>
      </c>
      <c r="E256" s="17" t="inlineStr">
        <is>
          <t>UN</t>
        </is>
      </c>
      <c r="F256" s="18" t="n">
        <v>40.0</v>
      </c>
      <c r="G256" s="19" t="n">
        <v>11.881002321</v>
      </c>
      <c r="H256" s="19" t="str">
        <f>ROUND(G256 * (1 + 32.78 / 100), 9)</f>
      </c>
      <c r="I256" s="19" t="str">
        <f>ROUND(F256 * h256, 9)</f>
      </c>
      <c r="J256" s="20" t="str">
        <f>i256 / 1181066.0424007571906268</f>
      </c>
    </row>
    <row customHeight="1" ht="39" r="257">
      <c r="A257" s="16" t="inlineStr">
        <is>
          <t> 4.9.1.18 </t>
        </is>
      </c>
      <c r="B257" s="18" t="inlineStr">
        <is>
          <t> 91893 </t>
        </is>
      </c>
      <c r="C257" s="16" t="inlineStr">
        <is>
          <t>SINAPI</t>
        </is>
      </c>
      <c r="D257" s="16" t="inlineStr">
        <is>
          <t>CURVA 90 GRAUS PARA ELETRODUTO, PVC, ROSCÁVEL, DN 32 MM (1"), PARA CIRCUITOS TERMINAIS, INSTALADA EM FORRO - FORNECIMENTO E INSTALAÇÃO. AF_12/2015</t>
        </is>
      </c>
      <c r="E257" s="17" t="inlineStr">
        <is>
          <t>UN</t>
        </is>
      </c>
      <c r="F257" s="18" t="n">
        <v>5.0</v>
      </c>
      <c r="G257" s="19" t="n">
        <v>14.978837656</v>
      </c>
      <c r="H257" s="19" t="str">
        <f>ROUND(G257 * (1 + 32.78 / 100), 9)</f>
      </c>
      <c r="I257" s="19" t="str">
        <f>ROUND(F257 * h257, 9)</f>
      </c>
      <c r="J257" s="20" t="str">
        <f>i257 / 1181066.0424007571906268</f>
      </c>
    </row>
    <row customHeight="1" ht="52" r="258">
      <c r="A258" s="16" t="inlineStr">
        <is>
          <t> 4.9.1.19 </t>
        </is>
      </c>
      <c r="B258" s="18" t="inlineStr">
        <is>
          <t> 91920 </t>
        </is>
      </c>
      <c r="C258" s="16" t="inlineStr">
        <is>
          <t>SINAPI</t>
        </is>
      </c>
      <c r="D258" s="16" t="inlineStr">
        <is>
          <t>CURVA 90 GRAUS PARA ELETRODUTO, PVC, ROSCÁVEL, DN 40 MM (1 1/4"), PARA CIRCUITOS TERMINAIS, INSTALADA EM PAREDE - FORNECIMENTO E INSTALAÇÃO. AF_12/2015</t>
        </is>
      </c>
      <c r="E258" s="17" t="inlineStr">
        <is>
          <t>UN</t>
        </is>
      </c>
      <c r="F258" s="18" t="n">
        <v>2.0</v>
      </c>
      <c r="G258" s="19" t="n">
        <v>20.848232269</v>
      </c>
      <c r="H258" s="19" t="str">
        <f>ROUND(G258 * (1 + 32.78 / 100), 9)</f>
      </c>
      <c r="I258" s="19" t="str">
        <f>ROUND(F258 * h258, 9)</f>
      </c>
      <c r="J258" s="20" t="str">
        <f>i258 / 1181066.0424007571906268</f>
      </c>
    </row>
    <row customHeight="1" ht="39" r="259">
      <c r="A259" s="16" t="inlineStr">
        <is>
          <t> 4.9.1.20 </t>
        </is>
      </c>
      <c r="B259" s="18" t="inlineStr">
        <is>
          <t> 91940 </t>
        </is>
      </c>
      <c r="C259" s="16" t="inlineStr">
        <is>
          <t>SINAPI</t>
        </is>
      </c>
      <c r="D259" s="16" t="inlineStr">
        <is>
          <t>CAIXA RETANGULAR 4" X 2" MÉDIA (1,30 M DO PISO), PVC, INSTALADA EM PAREDE - FORNECIMENTO E INSTALAÇÃO. AF_12/2015</t>
        </is>
      </c>
      <c r="E259" s="17" t="inlineStr">
        <is>
          <t>UN</t>
        </is>
      </c>
      <c r="F259" s="18" t="n">
        <v>60.0</v>
      </c>
      <c r="G259" s="19" t="n">
        <v>15.73737902</v>
      </c>
      <c r="H259" s="19" t="str">
        <f>ROUND(G259 * (1 + 32.78 / 100), 9)</f>
      </c>
      <c r="I259" s="19" t="str">
        <f>ROUND(F259 * h259, 9)</f>
      </c>
      <c r="J259" s="20" t="str">
        <f>i259 / 1181066.0424007571906268</f>
      </c>
    </row>
    <row customHeight="1" ht="39" r="260">
      <c r="A260" s="16" t="inlineStr">
        <is>
          <t> 4.9.1.21 </t>
        </is>
      </c>
      <c r="B260" s="18" t="inlineStr">
        <is>
          <t> 91943 </t>
        </is>
      </c>
      <c r="C260" s="16" t="inlineStr">
        <is>
          <t>SINAPI</t>
        </is>
      </c>
      <c r="D260" s="16" t="inlineStr">
        <is>
          <t>CAIXA RETANGULAR 4" X 4" MÉDIA (1,30 M DO PISO), PVC, INSTALADA EM PAREDE - FORNECIMENTO E INSTALAÇÃO. AF_12/2015</t>
        </is>
      </c>
      <c r="E260" s="17" t="inlineStr">
        <is>
          <t>UN</t>
        </is>
      </c>
      <c r="F260" s="18" t="n">
        <v>3.0</v>
      </c>
      <c r="G260" s="19" t="n">
        <v>19.149593377</v>
      </c>
      <c r="H260" s="19" t="str">
        <f>ROUND(G260 * (1 + 32.78 / 100), 9)</f>
      </c>
      <c r="I260" s="19" t="str">
        <f>ROUND(F260 * h260, 9)</f>
      </c>
      <c r="J260" s="20" t="str">
        <f>i260 / 1181066.0424007571906268</f>
      </c>
    </row>
    <row customHeight="1" ht="26" r="261">
      <c r="A261" s="16" t="inlineStr">
        <is>
          <t> 4.9.1.22 </t>
        </is>
      </c>
      <c r="B261" s="18" t="inlineStr">
        <is>
          <t> 91936 </t>
        </is>
      </c>
      <c r="C261" s="16" t="inlineStr">
        <is>
          <t>SINAPI</t>
        </is>
      </c>
      <c r="D261" s="16" t="inlineStr">
        <is>
          <t>CAIXA OCTOGONAL 4" X 4", PVC, INSTALADA EM LAJE - FORNECIMENTO E INSTALAÇÃO. AF_12/2015</t>
        </is>
      </c>
      <c r="E261" s="17" t="inlineStr">
        <is>
          <t>UN</t>
        </is>
      </c>
      <c r="F261" s="18" t="n">
        <v>19.0</v>
      </c>
      <c r="G261" s="19" t="n">
        <v>16.532924832</v>
      </c>
      <c r="H261" s="19" t="str">
        <f>ROUND(G261 * (1 + 32.78 / 100), 9)</f>
      </c>
      <c r="I261" s="19" t="str">
        <f>ROUND(F261 * h261, 9)</f>
      </c>
      <c r="J261" s="20" t="str">
        <f>i261 / 1181066.0424007571906268</f>
      </c>
    </row>
    <row customHeight="1" ht="26" r="262">
      <c r="A262" s="45" t="inlineStr">
        <is>
          <t> 4.9.1.23 </t>
        </is>
      </c>
      <c r="B262" s="47" t="inlineStr">
        <is>
          <t> 00038091 </t>
        </is>
      </c>
      <c r="C262" s="45" t="inlineStr">
        <is>
          <t>SINAPI</t>
        </is>
      </c>
      <c r="D262" s="45" t="inlineStr">
        <is>
          <t>ESPELHO / PLACA CEGA 4" X 2", PARA INSTALACAO DE TOMADAS E INTERRUPTORES</t>
        </is>
      </c>
      <c r="E262" s="46" t="inlineStr">
        <is>
          <t>UN</t>
        </is>
      </c>
      <c r="F262" s="47" t="n">
        <v>7.0</v>
      </c>
      <c r="G262" s="48" t="n">
        <v>2.76</v>
      </c>
      <c r="H262" s="48" t="str">
        <f>ROUND(G262 * (1 + 32.78 / 100), 9)</f>
      </c>
      <c r="I262" s="48" t="str">
        <f>ROUND(F262 * h262, 9)</f>
      </c>
      <c r="J262" s="49" t="str">
        <f>i262 / 1181066.0424007571906268</f>
      </c>
    </row>
    <row customHeight="1" ht="39" r="263">
      <c r="A263" s="16" t="inlineStr">
        <is>
          <t> 4.9.1.24 </t>
        </is>
      </c>
      <c r="B263" s="18" t="inlineStr">
        <is>
          <t> 91953 </t>
        </is>
      </c>
      <c r="C263" s="16" t="inlineStr">
        <is>
          <t>SINAPI</t>
        </is>
      </c>
      <c r="D263" s="16" t="inlineStr">
        <is>
          <t>INTERRUPTOR SIMPLES (1 MÓDULO), 10A/250V, INCLUINDO SUPORTE E PLACA - FORNECIMENTO E INSTALAÇÃO. AF_12/2015</t>
        </is>
      </c>
      <c r="E263" s="17" t="inlineStr">
        <is>
          <t>UN</t>
        </is>
      </c>
      <c r="F263" s="18" t="n">
        <v>9.0</v>
      </c>
      <c r="G263" s="19" t="n">
        <v>27.958256484</v>
      </c>
      <c r="H263" s="19" t="str">
        <f>ROUND(G263 * (1 + 32.78 / 100), 9)</f>
      </c>
      <c r="I263" s="19" t="str">
        <f>ROUND(F263 * h263, 9)</f>
      </c>
      <c r="J263" s="20" t="str">
        <f>i263 / 1181066.0424007571906268</f>
      </c>
    </row>
    <row customHeight="1" ht="39" r="264">
      <c r="A264" s="16" t="inlineStr">
        <is>
          <t> 4.9.1.25 </t>
        </is>
      </c>
      <c r="B264" s="18" t="inlineStr">
        <is>
          <t> 91959 </t>
        </is>
      </c>
      <c r="C264" s="16" t="inlineStr">
        <is>
          <t>SINAPI</t>
        </is>
      </c>
      <c r="D264" s="16" t="inlineStr">
        <is>
          <t>INTERRUPTOR SIMPLES (2 MÓDULOS), 10A/250V, INCLUINDO SUPORTE E PLACA - FORNECIMENTO E INSTALAÇÃO. AF_12/2015</t>
        </is>
      </c>
      <c r="E264" s="17" t="inlineStr">
        <is>
          <t>UN</t>
        </is>
      </c>
      <c r="F264" s="18" t="n">
        <v>2.0</v>
      </c>
      <c r="G264" s="19" t="n">
        <v>42.907433157</v>
      </c>
      <c r="H264" s="19" t="str">
        <f>ROUND(G264 * (1 + 32.78 / 100), 9)</f>
      </c>
      <c r="I264" s="19" t="str">
        <f>ROUND(F264 * h264, 9)</f>
      </c>
      <c r="J264" s="20" t="str">
        <f>i264 / 1181066.0424007571906268</f>
      </c>
    </row>
    <row customHeight="1" ht="39" r="265">
      <c r="A265" s="16" t="inlineStr">
        <is>
          <t> 4.9.1.26 </t>
        </is>
      </c>
      <c r="B265" s="18" t="inlineStr">
        <is>
          <t> 91967 </t>
        </is>
      </c>
      <c r="C265" s="16" t="inlineStr">
        <is>
          <t>SINAPI</t>
        </is>
      </c>
      <c r="D265" s="16" t="inlineStr">
        <is>
          <t>INTERRUPTOR SIMPLES (3 MÓDULOS), 10A/250V, INCLUINDO SUPORTE E PLACA - FORNECIMENTO E INSTALAÇÃO. AF_12/2015</t>
        </is>
      </c>
      <c r="E265" s="17" t="inlineStr">
        <is>
          <t>UN</t>
        </is>
      </c>
      <c r="F265" s="18" t="n">
        <v>1.0</v>
      </c>
      <c r="G265" s="19" t="n">
        <v>57.85660983</v>
      </c>
      <c r="H265" s="19" t="str">
        <f>ROUND(G265 * (1 + 32.78 / 100), 9)</f>
      </c>
      <c r="I265" s="19" t="str">
        <f>ROUND(F265 * h265, 9)</f>
      </c>
      <c r="J265" s="20" t="str">
        <f>i265 / 1181066.0424007571906268</f>
      </c>
    </row>
    <row customHeight="1" ht="39" r="266">
      <c r="A266" s="16" t="inlineStr">
        <is>
          <t> 4.9.1.27 </t>
        </is>
      </c>
      <c r="B266" s="18" t="inlineStr">
        <is>
          <t> 92000 </t>
        </is>
      </c>
      <c r="C266" s="16" t="inlineStr">
        <is>
          <t>SINAPI</t>
        </is>
      </c>
      <c r="D266" s="16" t="inlineStr">
        <is>
          <t>TOMADA BAIXA DE EMBUTIR (1 MÓDULO), 2P+T 10 A, INCLUINDO SUPORTE E PLACA - FORNECIMENTO E INSTALAÇÃO. AF_12/2015</t>
        </is>
      </c>
      <c r="E266" s="17" t="inlineStr">
        <is>
          <t>UN</t>
        </is>
      </c>
      <c r="F266" s="18" t="n">
        <v>14.0</v>
      </c>
      <c r="G266" s="19" t="n">
        <v>29.458208053</v>
      </c>
      <c r="H266" s="19" t="str">
        <f>ROUND(G266 * (1 + 32.78 / 100), 9)</f>
      </c>
      <c r="I266" s="19" t="str">
        <f>ROUND(F266 * h266, 9)</f>
      </c>
      <c r="J266" s="20" t="str">
        <f>i266 / 1181066.0424007571906268</f>
      </c>
    </row>
    <row customHeight="1" ht="39" r="267">
      <c r="A267" s="16" t="inlineStr">
        <is>
          <t> 4.9.1.28 </t>
        </is>
      </c>
      <c r="B267" s="18" t="inlineStr">
        <is>
          <t> 92008 </t>
        </is>
      </c>
      <c r="C267" s="16" t="inlineStr">
        <is>
          <t>SINAPI</t>
        </is>
      </c>
      <c r="D267" s="16" t="inlineStr">
        <is>
          <t>TOMADA BAIXA DE EMBUTIR (2 MÓDULOS), 2P+T 10 A, INCLUINDO SUPORTE E PLACA - FORNECIMENTO E INSTALAÇÃO. AF_12/2015</t>
        </is>
      </c>
      <c r="E267" s="17" t="inlineStr">
        <is>
          <t>UN</t>
        </is>
      </c>
      <c r="F267" s="18" t="n">
        <v>10.0</v>
      </c>
      <c r="G267" s="19" t="n">
        <v>45.865341138</v>
      </c>
      <c r="H267" s="19" t="str">
        <f>ROUND(G267 * (1 + 32.78 / 100), 9)</f>
      </c>
      <c r="I267" s="19" t="str">
        <f>ROUND(F267 * h267, 9)</f>
      </c>
      <c r="J267" s="20" t="str">
        <f>i267 / 1181066.0424007571906268</f>
      </c>
    </row>
    <row customHeight="1" ht="26" r="268">
      <c r="A268" s="16" t="inlineStr">
        <is>
          <t> 4.9.1.29 </t>
        </is>
      </c>
      <c r="B268" s="18" t="inlineStr">
        <is>
          <t> 060121 </t>
        </is>
      </c>
      <c r="C268" s="16" t="inlineStr">
        <is>
          <t>SBC</t>
        </is>
      </c>
      <c r="D268" s="16" t="inlineStr">
        <is>
          <t>LUMINARIA DE EMBUTIR PLAFON 18W LED BRANCO FRIO 22,5x22,5</t>
        </is>
      </c>
      <c r="E268" s="17" t="inlineStr">
        <is>
          <t>UN</t>
        </is>
      </c>
      <c r="F268" s="18" t="n">
        <v>11.0</v>
      </c>
      <c r="G268" s="19" t="n">
        <v>53.89716</v>
      </c>
      <c r="H268" s="19" t="str">
        <f>ROUND(G268 * (1 + 32.78 / 100), 9)</f>
      </c>
      <c r="I268" s="19" t="str">
        <f>ROUND(F268 * h268, 9)</f>
      </c>
      <c r="J268" s="20" t="str">
        <f>i268 / 1181066.0424007571906268</f>
      </c>
    </row>
    <row customHeight="1" ht="26" r="269">
      <c r="A269" s="16" t="inlineStr">
        <is>
          <t> 4.9.1.30 </t>
        </is>
      </c>
      <c r="B269" s="18" t="inlineStr">
        <is>
          <t> 060287 </t>
        </is>
      </c>
      <c r="C269" s="16" t="inlineStr">
        <is>
          <t>SBC</t>
        </is>
      </c>
      <c r="D269" s="16" t="inlineStr">
        <is>
          <t>LUMINARIA DE SOBREPOR PLAFON 10x120cm 30W 1 LED BRANCO</t>
        </is>
      </c>
      <c r="E269" s="17" t="inlineStr">
        <is>
          <t>UN</t>
        </is>
      </c>
      <c r="F269" s="18" t="n">
        <v>5.0</v>
      </c>
      <c r="G269" s="19" t="n">
        <v>163.03066</v>
      </c>
      <c r="H269" s="19" t="str">
        <f>ROUND(G269 * (1 + 32.78 / 100), 9)</f>
      </c>
      <c r="I269" s="19" t="str">
        <f>ROUND(F269 * h269, 9)</f>
      </c>
      <c r="J269" s="20" t="str">
        <f>i269 / 1181066.0424007571906268</f>
      </c>
    </row>
    <row customHeight="1" ht="26" r="270">
      <c r="A270" s="16" t="inlineStr">
        <is>
          <t> 4.9.1.31 </t>
        </is>
      </c>
      <c r="B270" s="18" t="inlineStr">
        <is>
          <t> 060036 </t>
        </is>
      </c>
      <c r="C270" s="16" t="inlineStr">
        <is>
          <t>SBC</t>
        </is>
      </c>
      <c r="D270" s="16" t="inlineStr">
        <is>
          <t>LUMINARIA PRISMATICA 12"" PENDENTE ALUMINIO RJ-LP012+LAMPADA</t>
        </is>
      </c>
      <c r="E270" s="17" t="inlineStr">
        <is>
          <t>UN</t>
        </is>
      </c>
      <c r="F270" s="18" t="n">
        <v>3.0</v>
      </c>
      <c r="G270" s="19" t="n">
        <v>120.51716</v>
      </c>
      <c r="H270" s="19" t="str">
        <f>ROUND(G270 * (1 + 32.78 / 100), 9)</f>
      </c>
      <c r="I270" s="19" t="str">
        <f>ROUND(F270 * h270, 9)</f>
      </c>
      <c r="J270" s="20" t="str">
        <f>i270 / 1181066.0424007571906268</f>
      </c>
    </row>
    <row customHeight="1" ht="39" r="271">
      <c r="A271" s="16" t="inlineStr">
        <is>
          <t> 4.9.1.32 </t>
        </is>
      </c>
      <c r="B271" s="18" t="inlineStr">
        <is>
          <t> 97607 </t>
        </is>
      </c>
      <c r="C271" s="16" t="inlineStr">
        <is>
          <t>SINAPI</t>
        </is>
      </c>
      <c r="D271" s="16" t="inlineStr">
        <is>
          <t>LUMINÁRIA ARANDELA TIPO TARTARUGA, DE SOBREPOR, COM 1 LÂMPADA LED DE 6 W, SEM REATOR - FORNECIMENTO E INSTALAÇÃO. AF_02/2020</t>
        </is>
      </c>
      <c r="E271" s="17" t="inlineStr">
        <is>
          <t>UN</t>
        </is>
      </c>
      <c r="F271" s="18" t="n">
        <v>8.0</v>
      </c>
      <c r="G271" s="19" t="n">
        <v>113.897741395</v>
      </c>
      <c r="H271" s="19" t="str">
        <f>ROUND(G271 * (1 + 32.78 / 100), 9)</f>
      </c>
      <c r="I271" s="19" t="str">
        <f>ROUND(F271 * h271, 9)</f>
      </c>
      <c r="J271" s="20" t="str">
        <f>i271 / 1181066.0424007571906268</f>
      </c>
    </row>
    <row customHeight="1" ht="52" r="272">
      <c r="A272" s="16" t="inlineStr">
        <is>
          <t> 4.9.1.33 </t>
        </is>
      </c>
      <c r="B272" s="18" t="inlineStr">
        <is>
          <t> 101880 </t>
        </is>
      </c>
      <c r="C272" s="16" t="inlineStr">
        <is>
          <t>SINAPI</t>
        </is>
      </c>
      <c r="D272" s="16" t="inlineStr">
        <is>
          <t>QUADRO DE DISTRIBUIÇÃO DE ENERGIA EM CHAPA DE AÇO GALVANIZADO, DE EMBUTIR, COM BARRAMENTO TRIFÁSICO, PARA 30 DISJUNTORES DIN 150A - FORNECIMENTO E INSTALAÇÃO. AF_10/2020</t>
        </is>
      </c>
      <c r="E272" s="17" t="inlineStr">
        <is>
          <t>UN</t>
        </is>
      </c>
      <c r="F272" s="18" t="n">
        <v>1.0</v>
      </c>
      <c r="G272" s="19" t="n">
        <v>756.022616666</v>
      </c>
      <c r="H272" s="19" t="str">
        <f>ROUND(G272 * (1 + 32.78 / 100), 9)</f>
      </c>
      <c r="I272" s="19" t="str">
        <f>ROUND(F272 * h272, 9)</f>
      </c>
      <c r="J272" s="20" t="str">
        <f>i272 / 1181066.0424007571906268</f>
      </c>
    </row>
    <row customHeight="1" ht="26" r="273">
      <c r="A273" s="16" t="inlineStr">
        <is>
          <t> 4.9.1.34 </t>
        </is>
      </c>
      <c r="B273" s="18" t="inlineStr">
        <is>
          <t> 93655 </t>
        </is>
      </c>
      <c r="C273" s="16" t="inlineStr">
        <is>
          <t>SINAPI</t>
        </is>
      </c>
      <c r="D273" s="16" t="inlineStr">
        <is>
          <t>DISJUNTOR MONOPOLAR TIPO DIN, CORRENTE NOMINAL DE 20A - FORNECIMENTO E INSTALAÇÃO. AF_10/2020</t>
        </is>
      </c>
      <c r="E273" s="17" t="inlineStr">
        <is>
          <t>UN</t>
        </is>
      </c>
      <c r="F273" s="18" t="n">
        <v>12.0</v>
      </c>
      <c r="G273" s="19" t="n">
        <v>13.914278903</v>
      </c>
      <c r="H273" s="19" t="str">
        <f>ROUND(G273 * (1 + 32.78 / 100), 9)</f>
      </c>
      <c r="I273" s="19" t="str">
        <f>ROUND(F273 * h273, 9)</f>
      </c>
      <c r="J273" s="20" t="str">
        <f>i273 / 1181066.0424007571906268</f>
      </c>
    </row>
    <row customHeight="1" ht="26" r="274">
      <c r="A274" s="16" t="inlineStr">
        <is>
          <t> 4.9.1.35 </t>
        </is>
      </c>
      <c r="B274" s="18" t="inlineStr">
        <is>
          <t> 93663 </t>
        </is>
      </c>
      <c r="C274" s="16" t="inlineStr">
        <is>
          <t>SINAPI</t>
        </is>
      </c>
      <c r="D274" s="16" t="inlineStr">
        <is>
          <t>DISJUNTOR BIPOLAR TIPO DIN, CORRENTE NOMINAL DE 25A - FORNECIMENTO E INSTALAÇÃO. AF_10/2020</t>
        </is>
      </c>
      <c r="E274" s="17" t="inlineStr">
        <is>
          <t>UN</t>
        </is>
      </c>
      <c r="F274" s="18" t="n">
        <v>3.0</v>
      </c>
      <c r="G274" s="19" t="n">
        <v>63.844358289</v>
      </c>
      <c r="H274" s="19" t="str">
        <f>ROUND(G274 * (1 + 32.78 / 100), 9)</f>
      </c>
      <c r="I274" s="19" t="str">
        <f>ROUND(F274 * h274, 9)</f>
      </c>
      <c r="J274" s="20" t="str">
        <f>i274 / 1181066.0424007571906268</f>
      </c>
    </row>
    <row customHeight="1" ht="26" r="275">
      <c r="A275" s="16" t="inlineStr">
        <is>
          <t> 4.9.1.36 </t>
        </is>
      </c>
      <c r="B275" s="18" t="inlineStr">
        <is>
          <t> 93664 </t>
        </is>
      </c>
      <c r="C275" s="16" t="inlineStr">
        <is>
          <t>SINAPI</t>
        </is>
      </c>
      <c r="D275" s="16" t="inlineStr">
        <is>
          <t>DISJUNTOR BIPOLAR TIPO DIN, CORRENTE NOMINAL DE 32A - FORNECIMENTO E INSTALAÇÃO. AF_10/2020</t>
        </is>
      </c>
      <c r="E275" s="17" t="inlineStr">
        <is>
          <t>UN</t>
        </is>
      </c>
      <c r="F275" s="18" t="n">
        <v>2.0</v>
      </c>
      <c r="G275" s="19" t="n">
        <v>66.515717103</v>
      </c>
      <c r="H275" s="19" t="str">
        <f>ROUND(G275 * (1 + 32.78 / 100), 9)</f>
      </c>
      <c r="I275" s="19" t="str">
        <f>ROUND(F275 * h275, 9)</f>
      </c>
      <c r="J275" s="20" t="str">
        <f>i275 / 1181066.0424007571906268</f>
      </c>
    </row>
    <row customHeight="1" ht="26" r="276">
      <c r="A276" s="16" t="inlineStr">
        <is>
          <t> 4.9.1.37 </t>
        </is>
      </c>
      <c r="B276" s="18" t="inlineStr">
        <is>
          <t> 93673 </t>
        </is>
      </c>
      <c r="C276" s="16" t="inlineStr">
        <is>
          <t>SINAPI</t>
        </is>
      </c>
      <c r="D276" s="16" t="inlineStr">
        <is>
          <t>DISJUNTOR TRIPOLAR TIPO DIN, CORRENTE NOMINAL DE 50A - FORNECIMENTO E INSTALAÇÃO. AF_10/2020</t>
        </is>
      </c>
      <c r="E276" s="17" t="inlineStr">
        <is>
          <t>UN</t>
        </is>
      </c>
      <c r="F276" s="18" t="n">
        <v>1.0</v>
      </c>
      <c r="G276" s="19" t="n">
        <v>98.430650572</v>
      </c>
      <c r="H276" s="19" t="str">
        <f>ROUND(G276 * (1 + 32.78 / 100), 9)</f>
      </c>
      <c r="I276" s="19" t="str">
        <f>ROUND(F276 * h276, 9)</f>
      </c>
      <c r="J276" s="20" t="str">
        <f>i276 / 1181066.0424007571906268</f>
      </c>
    </row>
    <row customHeight="1" ht="39" r="277">
      <c r="A277" s="16" t="inlineStr">
        <is>
          <t> 4.9.1.38 </t>
        </is>
      </c>
      <c r="B277" s="18" t="inlineStr">
        <is>
          <t> 00000176 </t>
        </is>
      </c>
      <c r="C277" s="16" t="inlineStr">
        <is>
          <t>Próprio</t>
        </is>
      </c>
      <c r="D277" s="16" t="inlineStr">
        <is>
          <t>DISPOSITIVOS DE PROTEÇÃO CONTRA SURTOS (DPS) TETRAPOLAR, IN DESCARGA 20KA POR PÓLO, CLASSE I, GRAU DE PROTEÇÃO IP20, CONFORME IEC 61643-11</t>
        </is>
      </c>
      <c r="E277" s="17" t="inlineStr">
        <is>
          <t>Un</t>
        </is>
      </c>
      <c r="F277" s="18" t="n">
        <v>4.0</v>
      </c>
      <c r="G277" s="19" t="n">
        <v>260.8951569</v>
      </c>
      <c r="H277" s="19" t="str">
        <f>ROUND(G277 * (1 + 32.78 / 100), 9)</f>
      </c>
      <c r="I277" s="19" t="str">
        <f>ROUND(F277 * h277, 9)</f>
      </c>
      <c r="J277" s="20" t="str">
        <f>i277 / 1181066.0424007571906268</f>
      </c>
    </row>
    <row customHeight="1" ht="26" r="278">
      <c r="A278" s="16" t="inlineStr">
        <is>
          <t> 4.9.1.39 </t>
        </is>
      </c>
      <c r="B278" s="18" t="inlineStr">
        <is>
          <t> 064816 </t>
        </is>
      </c>
      <c r="C278" s="16" t="inlineStr">
        <is>
          <t>SBC</t>
        </is>
      </c>
      <c r="D278" s="16" t="inlineStr">
        <is>
          <t>DISPOSITIVO DIFERENCIAL DR ALTA SENSIB.(30mA) TETRAPOLAR 25A</t>
        </is>
      </c>
      <c r="E278" s="17" t="inlineStr">
        <is>
          <t>UN</t>
        </is>
      </c>
      <c r="F278" s="18" t="n">
        <v>1.0</v>
      </c>
      <c r="G278" s="19" t="n">
        <v>159.35508</v>
      </c>
      <c r="H278" s="19" t="str">
        <f>ROUND(G278 * (1 + 32.78 / 100), 9)</f>
      </c>
      <c r="I278" s="19" t="str">
        <f>ROUND(F278 * h278, 9)</f>
      </c>
      <c r="J278" s="20" t="str">
        <f>i278 / 1181066.0424007571906268</f>
      </c>
    </row>
    <row customHeight="1" ht="26" r="279">
      <c r="A279" s="16" t="inlineStr">
        <is>
          <t> 4.9.1.40 </t>
        </is>
      </c>
      <c r="B279" s="18" t="inlineStr">
        <is>
          <t> 96985 </t>
        </is>
      </c>
      <c r="C279" s="16" t="inlineStr">
        <is>
          <t>SINAPI</t>
        </is>
      </c>
      <c r="D279" s="16" t="inlineStr">
        <is>
          <t>HASTE DE ATERRAMENTO 5/8  PARA SPDA - FORNECIMENTO E INSTALAÇÃO. AF_12/2017</t>
        </is>
      </c>
      <c r="E279" s="17" t="inlineStr">
        <is>
          <t>UN</t>
        </is>
      </c>
      <c r="F279" s="18" t="n">
        <v>3.0</v>
      </c>
      <c r="G279" s="19" t="n">
        <v>83.451596974</v>
      </c>
      <c r="H279" s="19" t="str">
        <f>ROUND(G279 * (1 + 32.78 / 100), 9)</f>
      </c>
      <c r="I279" s="19" t="str">
        <f>ROUND(F279 * h279, 9)</f>
      </c>
      <c r="J279" s="20" t="str">
        <f>i279 / 1181066.0424007571906268</f>
      </c>
    </row>
    <row customHeight="1" ht="24" r="280">
      <c r="A280" s="16" t="inlineStr">
        <is>
          <t> 4.9.1.41 </t>
        </is>
      </c>
      <c r="B280" s="18" t="inlineStr">
        <is>
          <t> 00000226 </t>
        </is>
      </c>
      <c r="C280" s="16" t="inlineStr">
        <is>
          <t>Próprio</t>
        </is>
      </c>
      <c r="D280" s="16" t="inlineStr">
        <is>
          <t>PONTO DE ANTENA P/ TV (C/ FIAÇÃO)</t>
        </is>
      </c>
      <c r="E280" s="17" t="inlineStr">
        <is>
          <t>PT</t>
        </is>
      </c>
      <c r="F280" s="18" t="n">
        <v>4.0</v>
      </c>
      <c r="G280" s="19" t="n">
        <v>202.6929128</v>
      </c>
      <c r="H280" s="19" t="str">
        <f>ROUND(G280 * (1 + 32.78 / 100), 9)</f>
      </c>
      <c r="I280" s="19" t="str">
        <f>ROUND(F280 * h280, 9)</f>
      </c>
      <c r="J280" s="20" t="str">
        <f>i280 / 1181066.0424007571906268</f>
      </c>
    </row>
    <row customHeight="1" ht="24" r="281">
      <c r="A281" s="8" t="inlineStr">
        <is>
          <t> 4.9.2 </t>
        </is>
      </c>
      <c r="B281" s="8"/>
      <c r="C281" s="8"/>
      <c r="D281" s="8" t="inlineStr">
        <is>
          <t>Hidrossanitária</t>
        </is>
      </c>
      <c r="E281" s="8"/>
      <c r="F281" s="10"/>
      <c r="G281" s="8"/>
      <c r="H281" s="8"/>
      <c r="I281" s="11" t="n">
        <v>27036.36059831618</v>
      </c>
      <c r="J281" s="12" t="str">
        <f>i281 / 1181066.0424007571906268</f>
      </c>
    </row>
    <row customHeight="1" ht="24" r="282">
      <c r="A282" s="8" t="inlineStr">
        <is>
          <t> 4.9.2.1 </t>
        </is>
      </c>
      <c r="B282" s="8"/>
      <c r="C282" s="8"/>
      <c r="D282" s="8" t="inlineStr">
        <is>
          <t>Água fria</t>
        </is>
      </c>
      <c r="E282" s="8"/>
      <c r="F282" s="10"/>
      <c r="G282" s="8"/>
      <c r="H282" s="8"/>
      <c r="I282" s="11" t="n">
        <v>3593.1808838671964</v>
      </c>
      <c r="J282" s="12" t="str">
        <f>i282 / 1181066.0424007571906268</f>
      </c>
    </row>
    <row customHeight="1" ht="65" r="283">
      <c r="A283" s="16" t="inlineStr">
        <is>
          <t> 4.9.2.1.1 </t>
        </is>
      </c>
      <c r="B283" s="18" t="inlineStr">
        <is>
          <t> 94703 </t>
        </is>
      </c>
      <c r="C283" s="16" t="inlineStr">
        <is>
          <t>SINAPI</t>
        </is>
      </c>
      <c r="D283" s="16" t="inlineStr">
        <is>
          <t>ADAPTADOR COM FLANGE E ANEL DE VEDAÇÃO, PVC, SOLDÁVEL, DN  25 MM X 3/4 , INSTALADO EM RESERVAÇÃO DE ÁGUA DE EDIFICAÇÃO QUE POSSUA RESERVATÓRIO DE FIBRA/FIBROCIMENTO   FORNECIMENTO E INSTALAÇÃO. AF_06/2016</t>
        </is>
      </c>
      <c r="E283" s="17" t="inlineStr">
        <is>
          <t>UN</t>
        </is>
      </c>
      <c r="F283" s="18" t="n">
        <v>7.0</v>
      </c>
      <c r="G283" s="19" t="n">
        <v>18.097857192</v>
      </c>
      <c r="H283" s="19" t="str">
        <f>ROUND(G283 * (1 + 32.78 / 100), 9)</f>
      </c>
      <c r="I283" s="19" t="str">
        <f>ROUND(F283 * h283, 9)</f>
      </c>
      <c r="J283" s="20" t="str">
        <f>i283 / 1181066.0424007571906268</f>
      </c>
    </row>
    <row customHeight="1" ht="39" r="284">
      <c r="A284" s="16" t="inlineStr">
        <is>
          <t> 4.9.2.1.2 </t>
        </is>
      </c>
      <c r="B284" s="18" t="inlineStr">
        <is>
          <t> 89481 </t>
        </is>
      </c>
      <c r="C284" s="16" t="inlineStr">
        <is>
          <t>SINAPI</t>
        </is>
      </c>
      <c r="D284" s="16" t="inlineStr">
        <is>
          <t>JOELHO 90 GRAUS, PVC, SOLDÁVEL, DN 25MM, INSTALADO EM PRUMADA DE ÁGUA - FORNECIMENTO E INSTALAÇÃO. AF_12/2014</t>
        </is>
      </c>
      <c r="E284" s="17" t="inlineStr">
        <is>
          <t>UN</t>
        </is>
      </c>
      <c r="F284" s="18" t="n">
        <v>12.0</v>
      </c>
      <c r="G284" s="19" t="n">
        <v>4.278759498</v>
      </c>
      <c r="H284" s="19" t="str">
        <f>ROUND(G284 * (1 + 32.78 / 100), 9)</f>
      </c>
      <c r="I284" s="19" t="str">
        <f>ROUND(F284 * h284, 9)</f>
      </c>
      <c r="J284" s="20" t="str">
        <f>i284 / 1181066.0424007571906268</f>
      </c>
    </row>
    <row customHeight="1" ht="39" r="285">
      <c r="A285" s="16" t="inlineStr">
        <is>
          <t> 4.9.2.1.3 </t>
        </is>
      </c>
      <c r="B285" s="18" t="inlineStr">
        <is>
          <t> 90373 </t>
        </is>
      </c>
      <c r="C285" s="16" t="inlineStr">
        <is>
          <t>SINAPI</t>
        </is>
      </c>
      <c r="D285" s="16" t="inlineStr">
        <is>
          <t>JOELHO 90 GRAUS COM BUCHA DE LATÃO, PVC, SOLDÁVEL, DN 25MM, X 1/2 INSTALADO EM RAMAL OU SUB-RAMAL DE ÁGUA - FORNECIMENTO E INSTALAÇÃO. AF_12/2014</t>
        </is>
      </c>
      <c r="E285" s="17" t="inlineStr">
        <is>
          <t>UN</t>
        </is>
      </c>
      <c r="F285" s="18" t="n">
        <v>11.0</v>
      </c>
      <c r="G285" s="19" t="n">
        <v>10.789062526</v>
      </c>
      <c r="H285" s="19" t="str">
        <f>ROUND(G285 * (1 + 32.78 / 100), 9)</f>
      </c>
      <c r="I285" s="19" t="str">
        <f>ROUND(F285 * h285, 9)</f>
      </c>
      <c r="J285" s="20" t="str">
        <f>i285 / 1181066.0424007571906268</f>
      </c>
    </row>
    <row customHeight="1" ht="26" r="286">
      <c r="A286" s="16" t="inlineStr">
        <is>
          <t> 4.9.2.1.4 </t>
        </is>
      </c>
      <c r="B286" s="18" t="inlineStr">
        <is>
          <t> 89617 </t>
        </is>
      </c>
      <c r="C286" s="16" t="inlineStr">
        <is>
          <t>SINAPI</t>
        </is>
      </c>
      <c r="D286" s="16" t="inlineStr">
        <is>
          <t>TE, PVC, SOLDÁVEL, DN 25MM, INSTALADO EM PRUMADA DE ÁGUA - FORNECIMENTO E INSTALAÇÃO. AF_12/2014</t>
        </is>
      </c>
      <c r="E286" s="17" t="inlineStr">
        <is>
          <t>UN</t>
        </is>
      </c>
      <c r="F286" s="18" t="n">
        <v>7.0</v>
      </c>
      <c r="G286" s="19" t="n">
        <v>6.068062153</v>
      </c>
      <c r="H286" s="19" t="str">
        <f>ROUND(G286 * (1 + 32.78 / 100), 9)</f>
      </c>
      <c r="I286" s="19" t="str">
        <f>ROUND(F286 * h286, 9)</f>
      </c>
      <c r="J286" s="20" t="str">
        <f>i286 / 1181066.0424007571906268</f>
      </c>
    </row>
    <row customHeight="1" ht="65" r="287">
      <c r="A287" s="16" t="inlineStr">
        <is>
          <t> 4.9.2.1.5 </t>
        </is>
      </c>
      <c r="B287" s="18" t="inlineStr">
        <is>
          <t> 94689 </t>
        </is>
      </c>
      <c r="C287" s="16" t="inlineStr">
        <is>
          <t>SINAPI</t>
        </is>
      </c>
      <c r="D287" s="16" t="inlineStr">
        <is>
          <t>TÊ COM BUCHA DE LATÃO NA BOLSA CENTRAL, PVC, SOLDÁVEL, DN  25 MM X 3/4 , INSTALADO EM RESERVAÇÃO DE ÁGUA DE EDIFICAÇÃO QUE POSSUA RESERVATÓRIO DE FIBRA/FIBROCIMENTO   FORNECIMENTO E INSTALAÇÃO. AF_06/2016</t>
        </is>
      </c>
      <c r="E287" s="17" t="inlineStr">
        <is>
          <t>UN</t>
        </is>
      </c>
      <c r="F287" s="18" t="n">
        <v>2.0</v>
      </c>
      <c r="G287" s="19" t="n">
        <v>11.974260173</v>
      </c>
      <c r="H287" s="19" t="str">
        <f>ROUND(G287 * (1 + 32.78 / 100), 9)</f>
      </c>
      <c r="I287" s="19" t="str">
        <f>ROUND(F287 * h287, 9)</f>
      </c>
      <c r="J287" s="20" t="str">
        <f>i287 / 1181066.0424007571906268</f>
      </c>
    </row>
    <row customHeight="1" ht="39" r="288">
      <c r="A288" s="16" t="inlineStr">
        <is>
          <t> 4.9.2.1.6 </t>
        </is>
      </c>
      <c r="B288" s="18" t="inlineStr">
        <is>
          <t> 96704 </t>
        </is>
      </c>
      <c r="C288" s="16" t="inlineStr">
        <is>
          <t>SINAPI</t>
        </is>
      </c>
      <c r="D288" s="16" t="inlineStr">
        <is>
          <t>BUCHA DE REDUÇÃO, PPR, 40 X 25, CLASSE PN 25, INSTALADO EM PRUMADA DE ÁGUA  FORNECIMENTO E INSTALAÇÃO . AF_06/2015</t>
        </is>
      </c>
      <c r="E288" s="17" t="inlineStr">
        <is>
          <t>UN</t>
        </is>
      </c>
      <c r="F288" s="18" t="n">
        <v>1.0</v>
      </c>
      <c r="G288" s="19" t="n">
        <v>17.391979635</v>
      </c>
      <c r="H288" s="19" t="str">
        <f>ROUND(G288 * (1 + 32.78 / 100), 9)</f>
      </c>
      <c r="I288" s="19" t="str">
        <f>ROUND(F288 * h288, 9)</f>
      </c>
      <c r="J288" s="20" t="str">
        <f>i288 / 1181066.0424007571906268</f>
      </c>
    </row>
    <row customHeight="1" ht="65" r="289">
      <c r="A289" s="16" t="inlineStr">
        <is>
          <t> 4.9.2.1.7 </t>
        </is>
      </c>
      <c r="B289" s="18" t="inlineStr">
        <is>
          <t> 91785 </t>
        </is>
      </c>
      <c r="C289" s="16" t="inlineStr">
        <is>
          <t>SINAPI</t>
        </is>
      </c>
      <c r="D289" s="16" t="inlineStr">
        <is>
          <t>(COMPOSIÇÃO REPRESENTATIVA) DO SERVIÇO DE INSTALAÇÃO DE TUBOS DE PVC, SOLDÁVEL, ÁGUA FRIA, DN 25 MM (INSTALADO EM RAMAL, SUB-RAMAL, RAMAL DE DISTRIBUIÇÃO OU PRUMADA), INCLUSIVE CONEXÕES, CORTES E FIXAÇÕES, PARA PRÉDIOS. AF_10/2015</t>
        </is>
      </c>
      <c r="E289" s="17" t="inlineStr">
        <is>
          <t>M</t>
        </is>
      </c>
      <c r="F289" s="18" t="n">
        <v>42.05</v>
      </c>
      <c r="G289" s="19" t="n">
        <v>36.496729158</v>
      </c>
      <c r="H289" s="19" t="str">
        <f>ROUND(G289 * (1 + 32.78 / 100), 9)</f>
      </c>
      <c r="I289" s="19" t="str">
        <f>ROUND(F289 * h289, 9)</f>
      </c>
      <c r="J289" s="20" t="str">
        <f>i289 / 1181066.0424007571906268</f>
      </c>
    </row>
    <row customHeight="1" ht="52" r="290">
      <c r="A290" s="16" t="inlineStr">
        <is>
          <t> 4.9.2.1.8 </t>
        </is>
      </c>
      <c r="B290" s="18" t="inlineStr">
        <is>
          <t> 91787 </t>
        </is>
      </c>
      <c r="C290" s="16" t="inlineStr">
        <is>
          <t>SINAPI</t>
        </is>
      </c>
      <c r="D290" s="16" t="inlineStr">
        <is>
          <t>(COMPOSIÇÃO REPRESENTATIVA) DO SERVIÇO DE INSTALAÇÃO DE TUBOS DE PVC, SOLDÁVEL, ÁGUA FRIA, DN 40 MM (INSTALADO EM PRUMADA), INCLUSIVE CONEXÕES, CORTES E FIXAÇÕES, PARA PRÉDIOS. AF_10/2015</t>
        </is>
      </c>
      <c r="E290" s="17" t="inlineStr">
        <is>
          <t>M</t>
        </is>
      </c>
      <c r="F290" s="18" t="n">
        <v>4.0</v>
      </c>
      <c r="G290" s="19" t="n">
        <v>30.407059231</v>
      </c>
      <c r="H290" s="19" t="str">
        <f>ROUND(G290 * (1 + 32.78 / 100), 9)</f>
      </c>
      <c r="I290" s="19" t="str">
        <f>ROUND(F290 * h290, 9)</f>
      </c>
      <c r="J290" s="20" t="str">
        <f>i290 / 1181066.0424007571906268</f>
      </c>
    </row>
    <row customHeight="1" ht="39" r="291">
      <c r="A291" s="16" t="inlineStr">
        <is>
          <t> 4.9.2.1.9 </t>
        </is>
      </c>
      <c r="B291" s="18" t="inlineStr">
        <is>
          <t> 89987 </t>
        </is>
      </c>
      <c r="C291" s="16" t="inlineStr">
        <is>
          <t>SINAPI</t>
        </is>
      </c>
      <c r="D291" s="16" t="inlineStr">
        <is>
          <t>REGISTRO DE GAVETA BRUTO, LATÃO, ROSCÁVEL, 3/4", COM ACABAMENTO E CANOPLA CROMADOS. FORNECIDO E INSTALADO EM RAMAL DE ÁGUA. AF_12/2014</t>
        </is>
      </c>
      <c r="E291" s="17" t="inlineStr">
        <is>
          <t>UN</t>
        </is>
      </c>
      <c r="F291" s="18" t="n">
        <v>4.0</v>
      </c>
      <c r="G291" s="19" t="n">
        <v>97.783372756</v>
      </c>
      <c r="H291" s="19" t="str">
        <f>ROUND(G291 * (1 + 32.78 / 100), 9)</f>
      </c>
      <c r="I291" s="19" t="str">
        <f>ROUND(F291 * h291, 9)</f>
      </c>
      <c r="J291" s="20" t="str">
        <f>i291 / 1181066.0424007571906268</f>
      </c>
    </row>
    <row customHeight="1" ht="39" r="292">
      <c r="A292" s="16" t="inlineStr">
        <is>
          <t> 4.9.2.1.10 </t>
        </is>
      </c>
      <c r="B292" s="18" t="inlineStr">
        <is>
          <t> 89985 </t>
        </is>
      </c>
      <c r="C292" s="16" t="inlineStr">
        <is>
          <t>SINAPI</t>
        </is>
      </c>
      <c r="D292" s="16" t="inlineStr">
        <is>
          <t>REGISTRO DE PRESSÃO BRUTO, LATÃO, ROSCÁVEL, 3/4", COM ACABAMENTO E CANOPLA CROMADOS. FORNECIDO E INSTALADO EM RAMAL DE ÁGUA. AF_12/2014</t>
        </is>
      </c>
      <c r="E292" s="17" t="inlineStr">
        <is>
          <t>UN</t>
        </is>
      </c>
      <c r="F292" s="18" t="n">
        <v>3.0</v>
      </c>
      <c r="G292" s="19" t="n">
        <v>92.713372756</v>
      </c>
      <c r="H292" s="19" t="str">
        <f>ROUND(G292 * (1 + 32.78 / 100), 9)</f>
      </c>
      <c r="I292" s="19" t="str">
        <f>ROUND(F292 * h292, 9)</f>
      </c>
      <c r="J292" s="20" t="str">
        <f>i292 / 1181066.0424007571906268</f>
      </c>
    </row>
    <row customHeight="1" ht="24" r="293">
      <c r="A293" s="8" t="inlineStr">
        <is>
          <t> 4.9.2.2 </t>
        </is>
      </c>
      <c r="B293" s="8"/>
      <c r="C293" s="8"/>
      <c r="D293" s="8" t="inlineStr">
        <is>
          <t>Esgoto e drenagem</t>
        </is>
      </c>
      <c r="E293" s="8"/>
      <c r="F293" s="10"/>
      <c r="G293" s="8"/>
      <c r="H293" s="8"/>
      <c r="I293" s="11" t="n">
        <v>23443.179714448986</v>
      </c>
      <c r="J293" s="12" t="str">
        <f>i293 / 1181066.0424007571906268</f>
      </c>
    </row>
    <row customHeight="1" ht="52" r="294">
      <c r="A294" s="16" t="inlineStr">
        <is>
          <t> 4.9.2.2.1 </t>
        </is>
      </c>
      <c r="B294" s="18" t="inlineStr">
        <is>
          <t> 89744 </t>
        </is>
      </c>
      <c r="C294" s="16" t="inlineStr">
        <is>
          <t>SINAPI</t>
        </is>
      </c>
      <c r="D294" s="16" t="inlineStr">
        <is>
          <t>JOELHO 90 GRAUS, PVC, SERIE NORMAL, ESGOTO PREDIAL, DN 100 MM, JUNTA ELÁSTICA, FORNECIDO E INSTALADO EM RAMAL DE DESCARGA OU RAMAL DE ESGOTO SANITÁRIO. AF_12/2014</t>
        </is>
      </c>
      <c r="E294" s="17" t="inlineStr">
        <is>
          <t>UN</t>
        </is>
      </c>
      <c r="F294" s="18" t="n">
        <v>2.0</v>
      </c>
      <c r="G294" s="19" t="n">
        <v>25.515137832</v>
      </c>
      <c r="H294" s="19" t="str">
        <f>ROUND(G294 * (1 + 32.78 / 100), 9)</f>
      </c>
      <c r="I294" s="19" t="str">
        <f>ROUND(F294 * h294, 9)</f>
      </c>
      <c r="J294" s="20" t="str">
        <f>i294 / 1181066.0424007571906268</f>
      </c>
    </row>
    <row customHeight="1" ht="52" r="295">
      <c r="A295" s="16" t="inlineStr">
        <is>
          <t> 4.9.2.2.2 </t>
        </is>
      </c>
      <c r="B295" s="18" t="inlineStr">
        <is>
          <t> 89737 </t>
        </is>
      </c>
      <c r="C295" s="16" t="inlineStr">
        <is>
          <t>SINAPI</t>
        </is>
      </c>
      <c r="D295" s="16" t="inlineStr">
        <is>
          <t>JOELHO 90 GRAUS, PVC, SERIE NORMAL, ESGOTO PREDIAL, DN 75 MM, JUNTA ELÁSTICA, FORNECIDO E INSTALADO EM RAMAL DE DESCARGA OU RAMAL DE ESGOTO SANITÁRIO. AF_12/2014</t>
        </is>
      </c>
      <c r="E295" s="17" t="inlineStr">
        <is>
          <t>UN</t>
        </is>
      </c>
      <c r="F295" s="18" t="n">
        <v>2.0</v>
      </c>
      <c r="G295" s="19" t="n">
        <v>20.986749324</v>
      </c>
      <c r="H295" s="19" t="str">
        <f>ROUND(G295 * (1 + 32.78 / 100), 9)</f>
      </c>
      <c r="I295" s="19" t="str">
        <f>ROUND(F295 * h295, 9)</f>
      </c>
      <c r="J295" s="20" t="str">
        <f>i295 / 1181066.0424007571906268</f>
      </c>
    </row>
    <row customHeight="1" ht="52" r="296">
      <c r="A296" s="16" t="inlineStr">
        <is>
          <t> 4.9.2.2.3 </t>
        </is>
      </c>
      <c r="B296" s="18" t="inlineStr">
        <is>
          <t> 89731 </t>
        </is>
      </c>
      <c r="C296" s="16" t="inlineStr">
        <is>
          <t>SINAPI</t>
        </is>
      </c>
      <c r="D296" s="16" t="inlineStr">
        <is>
          <t>JOELHO 90 GRAUS, PVC, SERIE NORMAL, ESGOTO PREDIAL, DN 50 MM, JUNTA ELÁSTICA, FORNECIDO E INSTALADO EM RAMAL DE DESCARGA OU RAMAL DE ESGOTO SANITÁRIO. AF_12/2014</t>
        </is>
      </c>
      <c r="E296" s="17" t="inlineStr">
        <is>
          <t>UN</t>
        </is>
      </c>
      <c r="F296" s="18" t="n">
        <v>8.0</v>
      </c>
      <c r="G296" s="19" t="n">
        <v>13.638944351</v>
      </c>
      <c r="H296" s="19" t="str">
        <f>ROUND(G296 * (1 + 32.78 / 100), 9)</f>
      </c>
      <c r="I296" s="19" t="str">
        <f>ROUND(F296 * h296, 9)</f>
      </c>
      <c r="J296" s="20" t="str">
        <f>i296 / 1181066.0424007571906268</f>
      </c>
    </row>
    <row customHeight="1" ht="52" r="297">
      <c r="A297" s="16" t="inlineStr">
        <is>
          <t> 4.9.2.2.4 </t>
        </is>
      </c>
      <c r="B297" s="18" t="inlineStr">
        <is>
          <t> 89724 </t>
        </is>
      </c>
      <c r="C297" s="16" t="inlineStr">
        <is>
          <t>SINAPI</t>
        </is>
      </c>
      <c r="D297" s="16" t="inlineStr">
        <is>
          <t>JOELHO 90 GRAUS, PVC, SERIE NORMAL, ESGOTO PREDIAL, DN 40 MM, JUNTA SOLDÁVEL, FORNECIDO E INSTALADO EM RAMAL DE DESCARGA OU RAMAL DE ESGOTO SANITÁRIO. AF_12/2014</t>
        </is>
      </c>
      <c r="E297" s="17" t="inlineStr">
        <is>
          <t>UN</t>
        </is>
      </c>
      <c r="F297" s="18" t="n">
        <v>4.0</v>
      </c>
      <c r="G297" s="19" t="n">
        <v>8.356722069</v>
      </c>
      <c r="H297" s="19" t="str">
        <f>ROUND(G297 * (1 + 32.78 / 100), 9)</f>
      </c>
      <c r="I297" s="19" t="str">
        <f>ROUND(F297 * h297, 9)</f>
      </c>
      <c r="J297" s="20" t="str">
        <f>i297 / 1181066.0424007571906268</f>
      </c>
    </row>
    <row customHeight="1" ht="52" r="298">
      <c r="A298" s="16" t="inlineStr">
        <is>
          <t> 4.9.2.2.5 </t>
        </is>
      </c>
      <c r="B298" s="18" t="inlineStr">
        <is>
          <t> 89732 </t>
        </is>
      </c>
      <c r="C298" s="16" t="inlineStr">
        <is>
          <t>SINAPI</t>
        </is>
      </c>
      <c r="D298" s="16" t="inlineStr">
        <is>
          <t>JOELHO 45 GRAUS, PVC, SERIE NORMAL, ESGOTO PREDIAL, DN 50 MM, JUNTA ELÁSTICA, FORNECIDO E INSTALADO EM RAMAL DE DESCARGA OU RAMAL DE ESGOTO SANITÁRIO. AF_12/2014</t>
        </is>
      </c>
      <c r="E298" s="17" t="inlineStr">
        <is>
          <t>UN</t>
        </is>
      </c>
      <c r="F298" s="18" t="n">
        <v>2.0</v>
      </c>
      <c r="G298" s="19" t="n">
        <v>14.328944351</v>
      </c>
      <c r="H298" s="19" t="str">
        <f>ROUND(G298 * (1 + 32.78 / 100), 9)</f>
      </c>
      <c r="I298" s="19" t="str">
        <f>ROUND(F298 * h298, 9)</f>
      </c>
      <c r="J298" s="20" t="str">
        <f>i298 / 1181066.0424007571906268</f>
      </c>
    </row>
    <row customHeight="1" ht="52" r="299">
      <c r="A299" s="16" t="inlineStr">
        <is>
          <t> 4.9.2.2.6 </t>
        </is>
      </c>
      <c r="B299" s="18" t="inlineStr">
        <is>
          <t> 89785 </t>
        </is>
      </c>
      <c r="C299" s="16" t="inlineStr">
        <is>
          <t>SINAPI</t>
        </is>
      </c>
      <c r="D299" s="16" t="inlineStr">
        <is>
          <t>JUNÇÃO SIMPLES, PVC, SERIE NORMAL, ESGOTO PREDIAL, DN 50 X 50 MM, JUNTA ELÁSTICA, FORNECIDO E INSTALADO EM RAMAL DE DESCARGA OU RAMAL DE ESGOTO SANITÁRIO. AF_12/2014</t>
        </is>
      </c>
      <c r="E299" s="17" t="inlineStr">
        <is>
          <t>UN</t>
        </is>
      </c>
      <c r="F299" s="18" t="n">
        <v>2.0</v>
      </c>
      <c r="G299" s="19" t="n">
        <v>24.583620313</v>
      </c>
      <c r="H299" s="19" t="str">
        <f>ROUND(G299 * (1 + 32.78 / 100), 9)</f>
      </c>
      <c r="I299" s="19" t="str">
        <f>ROUND(F299 * h299, 9)</f>
      </c>
      <c r="J299" s="20" t="str">
        <f>i299 / 1181066.0424007571906268</f>
      </c>
    </row>
    <row customHeight="1" ht="52" r="300">
      <c r="A300" s="16" t="inlineStr">
        <is>
          <t> 4.9.2.2.7 </t>
        </is>
      </c>
      <c r="B300" s="18" t="inlineStr">
        <is>
          <t> 89786 </t>
        </is>
      </c>
      <c r="C300" s="16" t="inlineStr">
        <is>
          <t>SINAPI</t>
        </is>
      </c>
      <c r="D300" s="16" t="inlineStr">
        <is>
          <t>TE, PVC, SERIE NORMAL, ESGOTO PREDIAL, DN 75 X 75 MM, JUNTA ELÁSTICA, FORNECIDO E INSTALADO EM RAMAL DE DESCARGA OU RAMAL DE ESGOTO SANITÁRIO. AF_12/2014</t>
        </is>
      </c>
      <c r="E300" s="17" t="inlineStr">
        <is>
          <t>UN</t>
        </is>
      </c>
      <c r="F300" s="18" t="n">
        <v>4.0</v>
      </c>
      <c r="G300" s="19" t="n">
        <v>36.290901944</v>
      </c>
      <c r="H300" s="19" t="str">
        <f>ROUND(G300 * (1 + 32.78 / 100), 9)</f>
      </c>
      <c r="I300" s="19" t="str">
        <f>ROUND(F300 * h300, 9)</f>
      </c>
      <c r="J300" s="20" t="str">
        <f>i300 / 1181066.0424007571906268</f>
      </c>
    </row>
    <row customHeight="1" ht="26" r="301">
      <c r="A301" s="16" t="inlineStr">
        <is>
          <t> 4.9.2.2.8 </t>
        </is>
      </c>
      <c r="B301" s="18" t="inlineStr">
        <is>
          <t> 7594 </t>
        </is>
      </c>
      <c r="C301" s="16" t="inlineStr">
        <is>
          <t>ORSE</t>
        </is>
      </c>
      <c r="D301" s="16" t="inlineStr">
        <is>
          <t>TERMINAL DE VENTILAÇÃO EM PVC RÍGIDO SOLDÁVEL, PARA ESGOTO PRIMÁRIO, DIÂM = 75MM</t>
        </is>
      </c>
      <c r="E301" s="17" t="inlineStr">
        <is>
          <t>un</t>
        </is>
      </c>
      <c r="F301" s="18" t="n">
        <v>1.0</v>
      </c>
      <c r="G301" s="19" t="n">
        <v>20.42787226</v>
      </c>
      <c r="H301" s="19" t="str">
        <f>ROUND(G301 * (1 + 32.78 / 100), 9)</f>
      </c>
      <c r="I301" s="19" t="str">
        <f>ROUND(F301 * h301, 9)</f>
      </c>
      <c r="J301" s="20" t="str">
        <f>i301 / 1181066.0424007571906268</f>
      </c>
    </row>
    <row customHeight="1" ht="39" r="302">
      <c r="A302" s="16" t="inlineStr">
        <is>
          <t> 4.9.2.2.9 </t>
        </is>
      </c>
      <c r="B302" s="18" t="inlineStr">
        <is>
          <t> 89714 </t>
        </is>
      </c>
      <c r="C302" s="16" t="inlineStr">
        <is>
          <t>SINAPI</t>
        </is>
      </c>
      <c r="D302" s="16" t="inlineStr">
        <is>
          <t>TUBO PVC, SERIE NORMAL, ESGOTO PREDIAL, DN 100 MM, FORNECIDO E INSTALADO EM RAMAL DE DESCARGA OU RAMAL DE ESGOTO SANITÁRIO. AF_12/2014</t>
        </is>
      </c>
      <c r="E302" s="17" t="inlineStr">
        <is>
          <t>M</t>
        </is>
      </c>
      <c r="F302" s="18" t="n">
        <v>26.15</v>
      </c>
      <c r="G302" s="19" t="n">
        <v>32.026223207</v>
      </c>
      <c r="H302" s="19" t="str">
        <f>ROUND(G302 * (1 + 32.78 / 100), 9)</f>
      </c>
      <c r="I302" s="19" t="str">
        <f>ROUND(F302 * h302, 9)</f>
      </c>
      <c r="J302" s="20" t="str">
        <f>i302 / 1181066.0424007571906268</f>
      </c>
    </row>
    <row customHeight="1" ht="39" r="303">
      <c r="A303" s="16" t="inlineStr">
        <is>
          <t> 4.9.2.2.10 </t>
        </is>
      </c>
      <c r="B303" s="18" t="inlineStr">
        <is>
          <t> 89713 </t>
        </is>
      </c>
      <c r="C303" s="16" t="inlineStr">
        <is>
          <t>SINAPI</t>
        </is>
      </c>
      <c r="D303" s="16" t="inlineStr">
        <is>
          <t>TUBO PVC, SERIE NORMAL, ESGOTO PREDIAL, DN 75 MM, FORNECIDO E INSTALADO EM RAMAL DE DESCARGA OU RAMAL DE ESGOTO SANITÁRIO. AF_12/2014</t>
        </is>
      </c>
      <c r="E303" s="17" t="inlineStr">
        <is>
          <t>M</t>
        </is>
      </c>
      <c r="F303" s="18" t="n">
        <v>43.85</v>
      </c>
      <c r="G303" s="19" t="n">
        <v>28.798083811</v>
      </c>
      <c r="H303" s="19" t="str">
        <f>ROUND(G303 * (1 + 32.78 / 100), 9)</f>
      </c>
      <c r="I303" s="19" t="str">
        <f>ROUND(F303 * h303, 9)</f>
      </c>
      <c r="J303" s="20" t="str">
        <f>i303 / 1181066.0424007571906268</f>
      </c>
    </row>
    <row customHeight="1" ht="39" r="304">
      <c r="A304" s="16" t="inlineStr">
        <is>
          <t> 4.9.2.2.11 </t>
        </is>
      </c>
      <c r="B304" s="18" t="inlineStr">
        <is>
          <t> 89712 </t>
        </is>
      </c>
      <c r="C304" s="16" t="inlineStr">
        <is>
          <t>SINAPI</t>
        </is>
      </c>
      <c r="D304" s="16" t="inlineStr">
        <is>
          <t>TUBO PVC, SERIE NORMAL, ESGOTO PREDIAL, DN 50 MM, FORNECIDO E INSTALADO EM RAMAL DE DESCARGA OU RAMAL DE ESGOTO SANITÁRIO. AF_12/2014</t>
        </is>
      </c>
      <c r="E304" s="17" t="inlineStr">
        <is>
          <t>M</t>
        </is>
      </c>
      <c r="F304" s="18" t="n">
        <v>26.25</v>
      </c>
      <c r="G304" s="19" t="n">
        <v>23.017086415</v>
      </c>
      <c r="H304" s="19" t="str">
        <f>ROUND(G304 * (1 + 32.78 / 100), 9)</f>
      </c>
      <c r="I304" s="19" t="str">
        <f>ROUND(F304 * h304, 9)</f>
      </c>
      <c r="J304" s="20" t="str">
        <f>i304 / 1181066.0424007571906268</f>
      </c>
    </row>
    <row customHeight="1" ht="39" r="305">
      <c r="A305" s="16" t="inlineStr">
        <is>
          <t> 4.9.2.2.12 </t>
        </is>
      </c>
      <c r="B305" s="18" t="inlineStr">
        <is>
          <t> 89711 </t>
        </is>
      </c>
      <c r="C305" s="16" t="inlineStr">
        <is>
          <t>SINAPI</t>
        </is>
      </c>
      <c r="D305" s="16" t="inlineStr">
        <is>
          <t>TUBO PVC, SERIE NORMAL, ESGOTO PREDIAL, DN 40 MM, FORNECIDO E INSTALADO EM RAMAL DE DESCARGA OU RAMAL DE ESGOTO SANITÁRIO. AF_12/2014</t>
        </is>
      </c>
      <c r="E305" s="17" t="inlineStr">
        <is>
          <t>M</t>
        </is>
      </c>
      <c r="F305" s="18" t="n">
        <v>11.8</v>
      </c>
      <c r="G305" s="19" t="n">
        <v>17.786257671</v>
      </c>
      <c r="H305" s="19" t="str">
        <f>ROUND(G305 * (1 + 32.78 / 100), 9)</f>
      </c>
      <c r="I305" s="19" t="str">
        <f>ROUND(F305 * h305, 9)</f>
      </c>
      <c r="J305" s="20" t="str">
        <f>i305 / 1181066.0424007571906268</f>
      </c>
    </row>
    <row customHeight="1" ht="39" r="306">
      <c r="A306" s="16" t="inlineStr">
        <is>
          <t> 4.9.2.2.13 </t>
        </is>
      </c>
      <c r="B306" s="18" t="inlineStr">
        <is>
          <t> 89707 </t>
        </is>
      </c>
      <c r="C306" s="16" t="inlineStr">
        <is>
          <t>SINAPI</t>
        </is>
      </c>
      <c r="D306" s="16" t="inlineStr">
        <is>
          <t>CAIXA SIFONADA, PVC, DN 100 X 100 X 50 MM, JUNTA ELÁSTICA, FORNECIDA E INSTALADA EM RAMAL DE DESCARGA OU EM RAMAL DE ESGOTO SANITÁRIO. AF_12/2014</t>
        </is>
      </c>
      <c r="E306" s="17" t="inlineStr">
        <is>
          <t>UN</t>
        </is>
      </c>
      <c r="F306" s="18" t="n">
        <v>4.0</v>
      </c>
      <c r="G306" s="19" t="n">
        <v>45.267304849</v>
      </c>
      <c r="H306" s="19" t="str">
        <f>ROUND(G306 * (1 + 32.78 / 100), 9)</f>
      </c>
      <c r="I306" s="19" t="str">
        <f>ROUND(F306 * h306, 9)</f>
      </c>
      <c r="J306" s="20" t="str">
        <f>i306 / 1181066.0424007571906268</f>
      </c>
    </row>
    <row customHeight="1" ht="24" r="307">
      <c r="A307" s="16" t="inlineStr">
        <is>
          <t> 4.9.2.2.14 </t>
        </is>
      </c>
      <c r="B307" s="18" t="inlineStr">
        <is>
          <t> 4883 </t>
        </is>
      </c>
      <c r="C307" s="16" t="inlineStr">
        <is>
          <t>ORSE</t>
        </is>
      </c>
      <c r="D307" s="16" t="inlineStr">
        <is>
          <t>CAIXA DE INSPEÇÃO 0.60 X 0.60 X 0.60M</t>
        </is>
      </c>
      <c r="E307" s="17" t="inlineStr">
        <is>
          <t>un</t>
        </is>
      </c>
      <c r="F307" s="18" t="n">
        <v>3.0</v>
      </c>
      <c r="G307" s="19" t="n">
        <v>635.839558789</v>
      </c>
      <c r="H307" s="19" t="str">
        <f>ROUND(G307 * (1 + 32.78 / 100), 9)</f>
      </c>
      <c r="I307" s="19" t="str">
        <f>ROUND(F307 * h307, 9)</f>
      </c>
      <c r="J307" s="20" t="str">
        <f>i307 / 1181066.0424007571906268</f>
      </c>
    </row>
    <row customHeight="1" ht="26" r="308">
      <c r="A308" s="16" t="inlineStr">
        <is>
          <t> 4.9.2.2.15 </t>
        </is>
      </c>
      <c r="B308" s="18" t="inlineStr">
        <is>
          <t> 8076 </t>
        </is>
      </c>
      <c r="C308" s="16" t="inlineStr">
        <is>
          <t>ORSE</t>
        </is>
      </c>
      <c r="D308" s="16" t="inlineStr">
        <is>
          <t>CAIXA DE PASSAGEM EM ALVENARIA DE TIJOLOS MACIÇOS ESP. = 0,12M, DIM. INT. = 0.50 X 0.50 X 0.50M</t>
        </is>
      </c>
      <c r="E308" s="17" t="inlineStr">
        <is>
          <t>un</t>
        </is>
      </c>
      <c r="F308" s="18" t="n">
        <v>4.0</v>
      </c>
      <c r="G308" s="19" t="n">
        <v>317.898382076</v>
      </c>
      <c r="H308" s="19" t="str">
        <f>ROUND(G308 * (1 + 32.78 / 100), 9)</f>
      </c>
      <c r="I308" s="19" t="str">
        <f>ROUND(F308 * h308, 9)</f>
      </c>
      <c r="J308" s="20" t="str">
        <f>i308 / 1181066.0424007571906268</f>
      </c>
    </row>
    <row customHeight="1" ht="52" r="309">
      <c r="A309" s="16" t="inlineStr">
        <is>
          <t> 4.9.2.2.16 </t>
        </is>
      </c>
      <c r="B309" s="18" t="inlineStr">
        <is>
          <t> 98104 </t>
        </is>
      </c>
      <c r="C309" s="16" t="inlineStr">
        <is>
          <t>SINAPI</t>
        </is>
      </c>
      <c r="D309" s="16" t="inlineStr">
        <is>
          <t>CAIXA DE GORDURA SIMPLES (CAPACIDADE: 36L), RETANGULAR, EM ALVENARIA COM TIJOLOS CERÂMICOS MACIÇOS, DIMENSÕES INTERNAS = 0,2X0,4 M, ALTURA INTERNA = 0,8 M. AF_12/2020</t>
        </is>
      </c>
      <c r="E309" s="17" t="inlineStr">
        <is>
          <t>UN</t>
        </is>
      </c>
      <c r="F309" s="18" t="n">
        <v>1.0</v>
      </c>
      <c r="G309" s="19" t="n">
        <v>360.444237355</v>
      </c>
      <c r="H309" s="19" t="str">
        <f>ROUND(G309 * (1 + 32.78 / 100), 9)</f>
      </c>
      <c r="I309" s="19" t="str">
        <f>ROUND(F309 * h309, 9)</f>
      </c>
      <c r="J309" s="20" t="str">
        <f>i309 / 1181066.0424007571906268</f>
      </c>
    </row>
    <row customHeight="1" ht="78" r="310">
      <c r="A310" s="16" t="inlineStr">
        <is>
          <t> 4.9.2.2.17 </t>
        </is>
      </c>
      <c r="B310" s="18" t="inlineStr">
        <is>
          <t> 93350 </t>
        </is>
      </c>
      <c r="C310" s="16" t="inlineStr">
        <is>
          <t>SINAPI</t>
        </is>
      </c>
      <c r="D310" s="16" t="inlineStr">
        <is>
          <t>COLETOR PREDIAL DE ESGOTO, DA CAIXA ATÉ A REDE (DISTÂNCIA = 10 M, LARGURA DA VALA = 0,65 M), INCLUINDO ESCAVAÇÃO MANUAL, PREPARO DE FUNDO DE VALA E REATERRO MANUAL COM COMPACTAÇÃO MECANIZADA, TUBO PVC P/ REDE COLETORA ESGOTO JEI DN 100 MM E CONEXÕES - FORNECIMENTO E INSTALAÇÃO. AF_03/2016</t>
        </is>
      </c>
      <c r="E310" s="17" t="inlineStr">
        <is>
          <t>UN</t>
        </is>
      </c>
      <c r="F310" s="18" t="n">
        <v>1.0</v>
      </c>
      <c r="G310" s="19" t="n">
        <v>1079.834304518</v>
      </c>
      <c r="H310" s="19" t="str">
        <f>ROUND(G310 * (1 + 32.78 / 100), 9)</f>
      </c>
      <c r="I310" s="19" t="str">
        <f>ROUND(F310 * h310, 9)</f>
      </c>
      <c r="J310" s="20" t="str">
        <f>i310 / 1181066.0424007571906268</f>
      </c>
    </row>
    <row customHeight="1" ht="26" r="311">
      <c r="A311" s="16" t="inlineStr">
        <is>
          <t> 4.9.2.2.18 </t>
        </is>
      </c>
      <c r="B311" s="18" t="inlineStr">
        <is>
          <t> 4421 </t>
        </is>
      </c>
      <c r="C311" s="16" t="inlineStr">
        <is>
          <t>ORSE</t>
        </is>
      </c>
      <c r="D311" s="16" t="inlineStr">
        <is>
          <t>CANALETA DE CONCRETO C/ TAMPA REMOVÍVEL EM CHAPA DE AÇO (0,25 X 0,25 X 0,25M)</t>
        </is>
      </c>
      <c r="E311" s="17" t="inlineStr">
        <is>
          <t>m</t>
        </is>
      </c>
      <c r="F311" s="18" t="n">
        <v>29.35</v>
      </c>
      <c r="G311" s="19" t="n">
        <v>322.380882236</v>
      </c>
      <c r="H311" s="19" t="str">
        <f>ROUND(G311 * (1 + 32.78 / 100), 9)</f>
      </c>
      <c r="I311" s="19" t="str">
        <f>ROUND(F311 * h311, 9)</f>
      </c>
      <c r="J311" s="20" t="str">
        <f>i311 / 1181066.0424007571906268</f>
      </c>
    </row>
    <row customHeight="1" ht="24" r="312">
      <c r="A312" s="8" t="inlineStr">
        <is>
          <t> 4.10 </t>
        </is>
      </c>
      <c r="B312" s="8"/>
      <c r="C312" s="8"/>
      <c r="D312" s="8" t="inlineStr">
        <is>
          <t>PINTURA</t>
        </is>
      </c>
      <c r="E312" s="8"/>
      <c r="F312" s="10"/>
      <c r="G312" s="8"/>
      <c r="H312" s="8"/>
      <c r="I312" s="11" t="n">
        <v>25681.556917137994</v>
      </c>
      <c r="J312" s="12" t="str">
        <f>i312 / 1181066.0424007571906268</f>
      </c>
    </row>
    <row customHeight="1" ht="26" r="313">
      <c r="A313" s="16" t="inlineStr">
        <is>
          <t> 4.10.1 </t>
        </is>
      </c>
      <c r="B313" s="18" t="inlineStr">
        <is>
          <t> 88485 </t>
        </is>
      </c>
      <c r="C313" s="16" t="inlineStr">
        <is>
          <t>SINAPI</t>
        </is>
      </c>
      <c r="D313" s="16" t="inlineStr">
        <is>
          <t>APLICAÇÃO DE FUNDO SELADOR ACRÍLICO EM PAREDES, UMA DEMÃO. AF_06/2014</t>
        </is>
      </c>
      <c r="E313" s="17" t="inlineStr">
        <is>
          <t>m²</t>
        </is>
      </c>
      <c r="F313" s="18" t="n">
        <v>518.5</v>
      </c>
      <c r="G313" s="19" t="n">
        <v>2.904468632</v>
      </c>
      <c r="H313" s="19" t="str">
        <f>ROUND(G313 * (1 + 32.78 / 100), 9)</f>
      </c>
      <c r="I313" s="19" t="str">
        <f>ROUND(F313 * h313, 9)</f>
      </c>
      <c r="J313" s="20" t="str">
        <f>i313 / 1181066.0424007571906268</f>
      </c>
    </row>
    <row customHeight="1" ht="26" r="314">
      <c r="A314" s="16" t="inlineStr">
        <is>
          <t> 4.10.2 </t>
        </is>
      </c>
      <c r="B314" s="18" t="inlineStr">
        <is>
          <t> 88497 </t>
        </is>
      </c>
      <c r="C314" s="16" t="inlineStr">
        <is>
          <t>SINAPI</t>
        </is>
      </c>
      <c r="D314" s="16" t="inlineStr">
        <is>
          <t>APLICAÇÃO E LIXAMENTO DE MASSA LÁTEX EM PAREDES, DUAS DEMÃOS. AF_06/2014</t>
        </is>
      </c>
      <c r="E314" s="17" t="inlineStr">
        <is>
          <t>m²</t>
        </is>
      </c>
      <c r="F314" s="18" t="n">
        <v>518.5</v>
      </c>
      <c r="G314" s="19" t="n">
        <v>14.067497217</v>
      </c>
      <c r="H314" s="19" t="str">
        <f>ROUND(G314 * (1 + 32.78 / 100), 9)</f>
      </c>
      <c r="I314" s="19" t="str">
        <f>ROUND(F314 * h314, 9)</f>
      </c>
      <c r="J314" s="20" t="str">
        <f>i314 / 1181066.0424007571906268</f>
      </c>
    </row>
    <row customHeight="1" ht="26" r="315">
      <c r="A315" s="16" t="inlineStr">
        <is>
          <t> 4.10.3 </t>
        </is>
      </c>
      <c r="B315" s="18" t="inlineStr">
        <is>
          <t> 88489 </t>
        </is>
      </c>
      <c r="C315" s="16" t="inlineStr">
        <is>
          <t>SINAPI</t>
        </is>
      </c>
      <c r="D315" s="16" t="inlineStr">
        <is>
          <t>APLICAÇÃO MANUAL DE PINTURA COM TINTA LÁTEX ACRÍLICA EM PAREDES, DUAS DEMÃOS. AF_06/2014</t>
        </is>
      </c>
      <c r="E315" s="17" t="inlineStr">
        <is>
          <t>m²</t>
        </is>
      </c>
      <c r="F315" s="18" t="n">
        <v>518.5</v>
      </c>
      <c r="G315" s="19" t="n">
        <v>11.197476541</v>
      </c>
      <c r="H315" s="19" t="str">
        <f>ROUND(G315 * (1 + 32.78 / 100), 9)</f>
      </c>
      <c r="I315" s="19" t="str">
        <f>ROUND(F315 * h315, 9)</f>
      </c>
      <c r="J315" s="20" t="str">
        <f>i315 / 1181066.0424007571906268</f>
      </c>
    </row>
    <row customHeight="1" ht="52" r="316">
      <c r="A316" s="16" t="inlineStr">
        <is>
          <t> 4.10.4 </t>
        </is>
      </c>
      <c r="B316" s="18" t="inlineStr">
        <is>
          <t> 100761 </t>
        </is>
      </c>
      <c r="C316" s="16" t="inlineStr">
        <is>
          <t>SINAPI</t>
        </is>
      </c>
      <c r="D316" s="16" t="inlineStr">
        <is>
          <t>PINTURA COM TINTA ALQUÍDICA DE ACABAMENTO (ESMALTE SINTÉTICO FOSCO) PULVERIZADA SOBRE SUPERFÍCIES METÁLICAS (EXCETO PERFIL) EXECUTADO EM OBRA (02 DEMÃOS). AF_01/2020</t>
        </is>
      </c>
      <c r="E316" s="17" t="inlineStr">
        <is>
          <t>m²</t>
        </is>
      </c>
      <c r="F316" s="18" t="n">
        <v>43.32</v>
      </c>
      <c r="G316" s="19" t="n">
        <v>38.706213536</v>
      </c>
      <c r="H316" s="19" t="str">
        <f>ROUND(G316 * (1 + 32.78 / 100), 9)</f>
      </c>
      <c r="I316" s="19" t="str">
        <f>ROUND(F316 * h316, 9)</f>
      </c>
      <c r="J316" s="20" t="str">
        <f>i316 / 1181066.0424007571906268</f>
      </c>
    </row>
    <row customHeight="1" ht="39" r="317">
      <c r="A317" s="16" t="inlineStr">
        <is>
          <t> 4.10.5 </t>
        </is>
      </c>
      <c r="B317" s="18" t="inlineStr">
        <is>
          <t> 102229 </t>
        </is>
      </c>
      <c r="C317" s="16" t="inlineStr">
        <is>
          <t>SINAPI</t>
        </is>
      </c>
      <c r="D317" s="16" t="inlineStr">
        <is>
          <t>PINTURA TINTA DE ACABAMENTO (PIGMENTADA) ESMALTE SINTÉTICO ACETINADO EM MADEIRA, 3 DEMÃOS. AF_01/2021</t>
        </is>
      </c>
      <c r="E317" s="17" t="inlineStr">
        <is>
          <t>m²</t>
        </is>
      </c>
      <c r="F317" s="18" t="n">
        <v>21.42</v>
      </c>
      <c r="G317" s="19" t="n">
        <v>19.538853881</v>
      </c>
      <c r="H317" s="19" t="str">
        <f>ROUND(G317 * (1 + 32.78 / 100), 9)</f>
      </c>
      <c r="I317" s="19" t="str">
        <f>ROUND(F317 * h317, 9)</f>
      </c>
      <c r="J317" s="20" t="str">
        <f>i317 / 1181066.0424007571906268</f>
      </c>
    </row>
    <row customHeight="1" ht="24" r="318">
      <c r="A318" s="16" t="inlineStr">
        <is>
          <t> 4.10.6 </t>
        </is>
      </c>
      <c r="B318" s="18" t="inlineStr">
        <is>
          <t> 79500/002 </t>
        </is>
      </c>
      <c r="C318" s="16" t="inlineStr">
        <is>
          <t>SINAPI</t>
        </is>
      </c>
      <c r="D318" s="16" t="inlineStr">
        <is>
          <t>PINTURA ACRILICA EM PISO CIMENTADO, TRES DEMAOS</t>
        </is>
      </c>
      <c r="E318" s="17" t="inlineStr">
        <is>
          <t>m²</t>
        </is>
      </c>
      <c r="F318" s="18" t="n">
        <v>120.98</v>
      </c>
      <c r="G318" s="19" t="n">
        <v>21.8242961</v>
      </c>
      <c r="H318" s="19" t="str">
        <f>ROUND(G318 * (1 + 32.78 / 100), 9)</f>
      </c>
      <c r="I318" s="19" t="str">
        <f>ROUND(F318 * h318, 9)</f>
      </c>
      <c r="J318" s="20" t="str">
        <f>i318 / 1181066.0424007571906268</f>
      </c>
    </row>
    <row customHeight="1" ht="24" r="319">
      <c r="A319" s="8" t="inlineStr">
        <is>
          <t> 4.11 </t>
        </is>
      </c>
      <c r="B319" s="8"/>
      <c r="C319" s="8"/>
      <c r="D319" s="8" t="inlineStr">
        <is>
          <t>FORRO</t>
        </is>
      </c>
      <c r="E319" s="8"/>
      <c r="F319" s="10"/>
      <c r="G319" s="8"/>
      <c r="H319" s="8"/>
      <c r="I319" s="11" t="n">
        <v>16115.17220142505</v>
      </c>
      <c r="J319" s="12" t="str">
        <f>i319 / 1181066.0424007571906268</f>
      </c>
    </row>
    <row customHeight="1" ht="24" r="320">
      <c r="A320" s="16" t="inlineStr">
        <is>
          <t> 4.11.1 </t>
        </is>
      </c>
      <c r="B320" s="18" t="inlineStr">
        <is>
          <t> 00000182 </t>
        </is>
      </c>
      <c r="C320" s="16" t="inlineStr">
        <is>
          <t>Próprio</t>
        </is>
      </c>
      <c r="D320" s="16" t="inlineStr">
        <is>
          <t>FORRO EM GESSO ACARTONADO ARAMADO</t>
        </is>
      </c>
      <c r="E320" s="17" t="inlineStr">
        <is>
          <t>m²</t>
        </is>
      </c>
      <c r="F320" s="18" t="n">
        <v>87.49</v>
      </c>
      <c r="G320" s="19" t="n">
        <v>95.749917</v>
      </c>
      <c r="H320" s="19" t="str">
        <f>ROUND(G320 * (1 + 32.78 / 100), 9)</f>
      </c>
      <c r="I320" s="19" t="str">
        <f>ROUND(F320 * h320, 9)</f>
      </c>
      <c r="J320" s="20" t="str">
        <f>i320 / 1181066.0424007571906268</f>
      </c>
    </row>
    <row customHeight="1" ht="26" r="321">
      <c r="A321" s="16" t="inlineStr">
        <is>
          <t> 4.11.2 </t>
        </is>
      </c>
      <c r="B321" s="18" t="inlineStr">
        <is>
          <t> 88484 </t>
        </is>
      </c>
      <c r="C321" s="16" t="inlineStr">
        <is>
          <t>SINAPI</t>
        </is>
      </c>
      <c r="D321" s="16" t="inlineStr">
        <is>
          <t>APLICAÇÃO DE FUNDO SELADOR ACRÍLICO EM TETO, UMA DEMÃO. AF_06/2014</t>
        </is>
      </c>
      <c r="E321" s="17" t="inlineStr">
        <is>
          <t>m²</t>
        </is>
      </c>
      <c r="F321" s="18" t="n">
        <v>87.49</v>
      </c>
      <c r="G321" s="19" t="n">
        <v>3.649012528</v>
      </c>
      <c r="H321" s="19" t="str">
        <f>ROUND(G321 * (1 + 32.78 / 100), 9)</f>
      </c>
      <c r="I321" s="19" t="str">
        <f>ROUND(F321 * h321, 9)</f>
      </c>
      <c r="J321" s="20" t="str">
        <f>i321 / 1181066.0424007571906268</f>
      </c>
    </row>
    <row customHeight="1" ht="26" r="322">
      <c r="A322" s="16" t="inlineStr">
        <is>
          <t> 4.11.3 </t>
        </is>
      </c>
      <c r="B322" s="18" t="inlineStr">
        <is>
          <t> 88496 </t>
        </is>
      </c>
      <c r="C322" s="16" t="inlineStr">
        <is>
          <t>SINAPI</t>
        </is>
      </c>
      <c r="D322" s="16" t="inlineStr">
        <is>
          <t>APLICAÇÃO E LIXAMENTO DE MASSA LÁTEX EM TETO, DUAS DEMÃOS. AF_06/2014</t>
        </is>
      </c>
      <c r="E322" s="17" t="inlineStr">
        <is>
          <t>m²</t>
        </is>
      </c>
      <c r="F322" s="18" t="n">
        <v>87.49</v>
      </c>
      <c r="G322" s="19" t="n">
        <v>24.933824203</v>
      </c>
      <c r="H322" s="19" t="str">
        <f>ROUND(G322 * (1 + 32.78 / 100), 9)</f>
      </c>
      <c r="I322" s="19" t="str">
        <f>ROUND(F322 * h322, 9)</f>
      </c>
      <c r="J322" s="20" t="str">
        <f>i322 / 1181066.0424007571906268</f>
      </c>
    </row>
    <row customHeight="1" ht="26" r="323">
      <c r="A323" s="16" t="inlineStr">
        <is>
          <t> 4.11.4 </t>
        </is>
      </c>
      <c r="B323" s="18" t="inlineStr">
        <is>
          <t> 88486 </t>
        </is>
      </c>
      <c r="C323" s="16" t="inlineStr">
        <is>
          <t>SINAPI</t>
        </is>
      </c>
      <c r="D323" s="16" t="inlineStr">
        <is>
          <t>APLICAÇÃO MANUAL DE PINTURA COM TINTA LÁTEX PVA EM TETO, DUAS DEMÃOS. AF_06/2014</t>
        </is>
      </c>
      <c r="E323" s="17" t="inlineStr">
        <is>
          <t>m²</t>
        </is>
      </c>
      <c r="F323" s="18" t="n">
        <v>87.49</v>
      </c>
      <c r="G323" s="19" t="n">
        <v>14.388776154</v>
      </c>
      <c r="H323" s="19" t="str">
        <f>ROUND(G323 * (1 + 32.78 / 100), 9)</f>
      </c>
      <c r="I323" s="19" t="str">
        <f>ROUND(F323 * h323, 9)</f>
      </c>
      <c r="J323" s="20" t="str">
        <f>i323 / 1181066.0424007571906268</f>
      </c>
    </row>
    <row customHeight="1" ht="24" r="324">
      <c r="A324" s="8" t="inlineStr">
        <is>
          <t> 4.12 </t>
        </is>
      </c>
      <c r="B324" s="8"/>
      <c r="C324" s="8"/>
      <c r="D324" s="8" t="inlineStr">
        <is>
          <t>LOUÇAS, METAIS E ACESSÓRIOS</t>
        </is>
      </c>
      <c r="E324" s="8"/>
      <c r="F324" s="10"/>
      <c r="G324" s="8"/>
      <c r="H324" s="8"/>
      <c r="I324" s="11" t="n">
        <v>29408.053000947333</v>
      </c>
      <c r="J324" s="12" t="str">
        <f>i324 / 1181066.0424007571906268</f>
      </c>
    </row>
    <row customHeight="1" ht="24" r="325">
      <c r="A325" s="16" t="inlineStr">
        <is>
          <t> 4.12.1 </t>
        </is>
      </c>
      <c r="B325" s="18" t="inlineStr">
        <is>
          <t> 11150 </t>
        </is>
      </c>
      <c r="C325" s="16" t="inlineStr">
        <is>
          <t>ORSE</t>
        </is>
      </c>
      <c r="D325" s="16" t="inlineStr">
        <is>
          <t>BANCADA EM GRANITO VERDE UBATUBA, E = 2CM</t>
        </is>
      </c>
      <c r="E325" s="17" t="inlineStr">
        <is>
          <t>m²</t>
        </is>
      </c>
      <c r="F325" s="18" t="n">
        <v>7.92</v>
      </c>
      <c r="G325" s="19" t="n">
        <v>819.166727</v>
      </c>
      <c r="H325" s="19" t="str">
        <f>ROUND(G325 * (1 + 32.78 / 100), 9)</f>
      </c>
      <c r="I325" s="19" t="str">
        <f>ROUND(F325 * h325, 9)</f>
      </c>
      <c r="J325" s="20" t="str">
        <f>i325 / 1181066.0424007571906268</f>
      </c>
    </row>
    <row customHeight="1" ht="26" r="326">
      <c r="A326" s="45" t="inlineStr">
        <is>
          <t> 4.12.2 </t>
        </is>
      </c>
      <c r="B326" s="47" t="inlineStr">
        <is>
          <t> 00000568 </t>
        </is>
      </c>
      <c r="C326" s="45" t="inlineStr">
        <is>
          <t>SINAPI</t>
        </is>
      </c>
      <c r="D326" s="45" t="inlineStr">
        <is>
          <t>CANTONEIRA (ABAS IGUAIS) EM FERRO GALVANIZADO, 50,8 MM X 9,53 MM (L X E), 6,99 KG/M</t>
        </is>
      </c>
      <c r="E326" s="46" t="inlineStr">
        <is>
          <t>M</t>
        </is>
      </c>
      <c r="F326" s="47" t="n">
        <v>6.0</v>
      </c>
      <c r="G326" s="48" t="n">
        <v>70.53</v>
      </c>
      <c r="H326" s="48" t="str">
        <f>ROUND(G326 * (1 + 32.78 / 100), 9)</f>
      </c>
      <c r="I326" s="48" t="str">
        <f>ROUND(F326 * h326, 9)</f>
      </c>
      <c r="J326" s="49" t="str">
        <f>i326 / 1181066.0424007571906268</f>
      </c>
    </row>
    <row customHeight="1" ht="26" r="327">
      <c r="A327" s="16" t="inlineStr">
        <is>
          <t> 4.12.3 </t>
        </is>
      </c>
      <c r="B327" s="18" t="inlineStr">
        <is>
          <t> 190318 </t>
        </is>
      </c>
      <c r="C327" s="16" t="inlineStr">
        <is>
          <t>SBC</t>
        </is>
      </c>
      <c r="D327" s="16" t="inlineStr">
        <is>
          <t>CUBA DE SOBREPOR 0,35 x 0,35 cm (DECA LINHA CARRARA REF.L34 OU SIMILAR)</t>
        </is>
      </c>
      <c r="E327" s="17" t="inlineStr">
        <is>
          <t>UN</t>
        </is>
      </c>
      <c r="F327" s="18" t="n">
        <v>2.0</v>
      </c>
      <c r="G327" s="19" t="n">
        <v>868.65282</v>
      </c>
      <c r="H327" s="19" t="str">
        <f>ROUND(G327 * (1 + 32.78 / 100), 9)</f>
      </c>
      <c r="I327" s="19" t="str">
        <f>ROUND(F327 * h327, 9)</f>
      </c>
      <c r="J327" s="20" t="str">
        <f>i327 / 1181066.0424007571906268</f>
      </c>
    </row>
    <row customHeight="1" ht="39" r="328">
      <c r="A328" s="16" t="inlineStr">
        <is>
          <t> 4.12.4 </t>
        </is>
      </c>
      <c r="B328" s="18" t="inlineStr">
        <is>
          <t> 100852 </t>
        </is>
      </c>
      <c r="C328" s="16" t="inlineStr">
        <is>
          <t>SINAPI</t>
        </is>
      </c>
      <c r="D328" s="16" t="inlineStr">
        <is>
          <t>CUBA DE EMBUTIR RETANGULAR DE AÇO INOXIDÁVEL, 56 X 33 X 12 CM - FORNECIMENTO E INSTALAÇÃO. AF_01/2020</t>
        </is>
      </c>
      <c r="E328" s="17" t="inlineStr">
        <is>
          <t>UN</t>
        </is>
      </c>
      <c r="F328" s="18" t="n">
        <v>3.0</v>
      </c>
      <c r="G328" s="19" t="n">
        <v>249.801655099</v>
      </c>
      <c r="H328" s="19" t="str">
        <f>ROUND(G328 * (1 + 32.78 / 100), 9)</f>
      </c>
      <c r="I328" s="19" t="str">
        <f>ROUND(F328 * h328, 9)</f>
      </c>
      <c r="J328" s="20" t="str">
        <f>i328 / 1181066.0424007571906268</f>
      </c>
    </row>
    <row customHeight="1" ht="26" r="329">
      <c r="A329" s="16" t="inlineStr">
        <is>
          <t> 4.12.5 </t>
        </is>
      </c>
      <c r="B329" s="18" t="inlineStr">
        <is>
          <t> 86887 </t>
        </is>
      </c>
      <c r="C329" s="16" t="inlineStr">
        <is>
          <t>SINAPI</t>
        </is>
      </c>
      <c r="D329" s="16" t="inlineStr">
        <is>
          <t>ENGATE FLEXÍVEL EM INOX, 1/2  X 40CM - FORNECIMENTO E INSTALAÇÃO. AF_01/2020</t>
        </is>
      </c>
      <c r="E329" s="17" t="inlineStr">
        <is>
          <t>UN</t>
        </is>
      </c>
      <c r="F329" s="18" t="n">
        <v>4.0</v>
      </c>
      <c r="G329" s="19" t="n">
        <v>61.061806219</v>
      </c>
      <c r="H329" s="19" t="str">
        <f>ROUND(G329 * (1 + 32.78 / 100), 9)</f>
      </c>
      <c r="I329" s="19" t="str">
        <f>ROUND(F329 * h329, 9)</f>
      </c>
      <c r="J329" s="20" t="str">
        <f>i329 / 1181066.0424007571906268</f>
      </c>
    </row>
    <row customHeight="1" ht="26" r="330">
      <c r="A330" s="45" t="inlineStr">
        <is>
          <t> 4.12.6 </t>
        </is>
      </c>
      <c r="B330" s="47" t="inlineStr">
        <is>
          <t> 00001370 </t>
        </is>
      </c>
      <c r="C330" s="45" t="inlineStr">
        <is>
          <t>SINAPI</t>
        </is>
      </c>
      <c r="D330" s="45" t="inlineStr">
        <is>
          <t>DUCHA HIGIENICA PLASTICA COM REGISTRO METALICO 1/2 "</t>
        </is>
      </c>
      <c r="E330" s="46" t="inlineStr">
        <is>
          <t>UN</t>
        </is>
      </c>
      <c r="F330" s="47" t="n">
        <v>2.0</v>
      </c>
      <c r="G330" s="48" t="n">
        <v>114.25</v>
      </c>
      <c r="H330" s="48" t="str">
        <f>ROUND(G330 * (1 + 32.78 / 100), 9)</f>
      </c>
      <c r="I330" s="48" t="str">
        <f>ROUND(F330 * h330, 9)</f>
      </c>
      <c r="J330" s="49" t="str">
        <f>i330 / 1181066.0424007571906268</f>
      </c>
    </row>
    <row customHeight="1" ht="26" r="331">
      <c r="A331" s="16" t="inlineStr">
        <is>
          <t> 4.12.7 </t>
        </is>
      </c>
      <c r="B331" s="18" t="inlineStr">
        <is>
          <t> 86888 </t>
        </is>
      </c>
      <c r="C331" s="16" t="inlineStr">
        <is>
          <t>SINAPI</t>
        </is>
      </c>
      <c r="D331" s="16" t="inlineStr">
        <is>
          <t>VASO SANITÁRIO SIFONADO COM CAIXA ACOPLADA LOUÇA BRANCA - FORNECIMENTO E INSTALAÇÃO. AF_01/2020</t>
        </is>
      </c>
      <c r="E331" s="17" t="inlineStr">
        <is>
          <t>UN</t>
        </is>
      </c>
      <c r="F331" s="18" t="n">
        <v>2.0</v>
      </c>
      <c r="G331" s="19" t="n">
        <v>489.482377147</v>
      </c>
      <c r="H331" s="19" t="str">
        <f>ROUND(G331 * (1 + 32.78 / 100), 9)</f>
      </c>
      <c r="I331" s="19" t="str">
        <f>ROUND(F331 * h331, 9)</f>
      </c>
      <c r="J331" s="20" t="str">
        <f>i331 / 1181066.0424007571906268</f>
      </c>
    </row>
    <row customHeight="1" ht="26" r="332">
      <c r="A332" s="16" t="inlineStr">
        <is>
          <t> 4.12.8 </t>
        </is>
      </c>
      <c r="B332" s="18" t="inlineStr">
        <is>
          <t> 100849 </t>
        </is>
      </c>
      <c r="C332" s="16" t="inlineStr">
        <is>
          <t>SINAPI</t>
        </is>
      </c>
      <c r="D332" s="16" t="inlineStr">
        <is>
          <t>ASSENTO SANITÁRIO CONVENCIONAL - FORNECIMENTO E INSTALACAO. AF_01/2020</t>
        </is>
      </c>
      <c r="E332" s="17" t="inlineStr">
        <is>
          <t>UN</t>
        </is>
      </c>
      <c r="F332" s="18" t="n">
        <v>2.0</v>
      </c>
      <c r="G332" s="19" t="n">
        <v>39.487059746</v>
      </c>
      <c r="H332" s="19" t="str">
        <f>ROUND(G332 * (1 + 32.78 / 100), 9)</f>
      </c>
      <c r="I332" s="19" t="str">
        <f>ROUND(F332 * h332, 9)</f>
      </c>
      <c r="J332" s="20" t="str">
        <f>i332 / 1181066.0424007571906268</f>
      </c>
    </row>
    <row customHeight="1" ht="26" r="333">
      <c r="A333" s="16" t="inlineStr">
        <is>
          <t> 4.12.9 </t>
        </is>
      </c>
      <c r="B333" s="18" t="inlineStr">
        <is>
          <t> 74125/002 </t>
        </is>
      </c>
      <c r="C333" s="16" t="inlineStr">
        <is>
          <t>SINAPI</t>
        </is>
      </c>
      <c r="D333" s="16" t="inlineStr">
        <is>
          <t>ESPELHO CRISTAL ESPESSURA 4MM, COM MOLDURA EM ALUMINIO E COMPENSADO 6MM PLASTIFICADO COLADO</t>
        </is>
      </c>
      <c r="E333" s="17" t="inlineStr">
        <is>
          <t>m²</t>
        </is>
      </c>
      <c r="F333" s="18" t="n">
        <v>1.44</v>
      </c>
      <c r="G333" s="19" t="n">
        <v>1056.36553568</v>
      </c>
      <c r="H333" s="19" t="str">
        <f>ROUND(G333 * (1 + 32.78 / 100), 9)</f>
      </c>
      <c r="I333" s="19" t="str">
        <f>ROUND(F333 * h333, 9)</f>
      </c>
      <c r="J333" s="20" t="str">
        <f>i333 / 1181066.0424007571906268</f>
      </c>
    </row>
    <row customHeight="1" ht="26" r="334">
      <c r="A334" s="16" t="inlineStr">
        <is>
          <t> 4.12.10 </t>
        </is>
      </c>
      <c r="B334" s="18" t="inlineStr">
        <is>
          <t> 86881 </t>
        </is>
      </c>
      <c r="C334" s="16" t="inlineStr">
        <is>
          <t>SINAPI</t>
        </is>
      </c>
      <c r="D334" s="16" t="inlineStr">
        <is>
          <t>SIFÃO DO TIPO GARRAFA EM METAL CROMADO 1 X 1.1/2 - FORNECIMENTO E INSTALAÇÃO. AF_01/2020</t>
        </is>
      </c>
      <c r="E334" s="17" t="inlineStr">
        <is>
          <t>UN</t>
        </is>
      </c>
      <c r="F334" s="18" t="n">
        <v>5.0</v>
      </c>
      <c r="G334" s="19" t="n">
        <v>234.408068818</v>
      </c>
      <c r="H334" s="19" t="str">
        <f>ROUND(G334 * (1 + 32.78 / 100), 9)</f>
      </c>
      <c r="I334" s="19" t="str">
        <f>ROUND(F334 * h334, 9)</f>
      </c>
      <c r="J334" s="20" t="str">
        <f>i334 / 1181066.0424007571906268</f>
      </c>
    </row>
    <row customHeight="1" ht="39" r="335">
      <c r="A335" s="16" t="inlineStr">
        <is>
          <t> 4.12.11 </t>
        </is>
      </c>
      <c r="B335" s="18" t="inlineStr">
        <is>
          <t> 86877 </t>
        </is>
      </c>
      <c r="C335" s="16" t="inlineStr">
        <is>
          <t>SINAPI</t>
        </is>
      </c>
      <c r="D335" s="16" t="inlineStr">
        <is>
          <t>VÁLVULA EM METAL CROMADO 1.1/2 X 1.1/2 PARA TANQUE OU LAVATÓRIO, COM OU SEM LADRÃO - FORNECIMENTO E INSTALAÇÃO. AF_01/2020</t>
        </is>
      </c>
      <c r="E335" s="17" t="inlineStr">
        <is>
          <t>UN</t>
        </is>
      </c>
      <c r="F335" s="18" t="n">
        <v>4.0</v>
      </c>
      <c r="G335" s="19" t="n">
        <v>76.174766758</v>
      </c>
      <c r="H335" s="19" t="str">
        <f>ROUND(G335 * (1 + 32.78 / 100), 9)</f>
      </c>
      <c r="I335" s="19" t="str">
        <f>ROUND(F335 * h335, 9)</f>
      </c>
      <c r="J335" s="20" t="str">
        <f>i335 / 1181066.0424007571906268</f>
      </c>
    </row>
    <row customHeight="1" ht="39" r="336">
      <c r="A336" s="16" t="inlineStr">
        <is>
          <t> 4.12.12 </t>
        </is>
      </c>
      <c r="B336" s="18" t="inlineStr">
        <is>
          <t> 86878 </t>
        </is>
      </c>
      <c r="C336" s="16" t="inlineStr">
        <is>
          <t>SINAPI</t>
        </is>
      </c>
      <c r="D336" s="16" t="inlineStr">
        <is>
          <t>VÁLVULA EM METAL CROMADO TIPO AMERICANA 3.1/2 X 1.1/2 PARA PIA - FORNECIMENTO E INSTALAÇÃO. AF_01/2020</t>
        </is>
      </c>
      <c r="E336" s="17" t="inlineStr">
        <is>
          <t>UN</t>
        </is>
      </c>
      <c r="F336" s="18" t="n">
        <v>3.0</v>
      </c>
      <c r="G336" s="19" t="n">
        <v>82.284766758</v>
      </c>
      <c r="H336" s="19" t="str">
        <f>ROUND(G336 * (1 + 32.78 / 100), 9)</f>
      </c>
      <c r="I336" s="19" t="str">
        <f>ROUND(F336 * h336, 9)</f>
      </c>
      <c r="J336" s="20" t="str">
        <f>i336 / 1181066.0424007571906268</f>
      </c>
    </row>
    <row customHeight="1" ht="39" r="337">
      <c r="A337" s="16" t="inlineStr">
        <is>
          <t> 4.12.13 </t>
        </is>
      </c>
      <c r="B337" s="18" t="inlineStr">
        <is>
          <t> 86915 </t>
        </is>
      </c>
      <c r="C337" s="16" t="inlineStr">
        <is>
          <t>SINAPI</t>
        </is>
      </c>
      <c r="D337" s="16" t="inlineStr">
        <is>
          <t>TORNEIRA CROMADA DE MESA, 1/2 OU 3/4, PARA LAVATÓRIO, PADRÃO MÉDIO - FORNECIMENTO E INSTALAÇÃO. AF_01/2020</t>
        </is>
      </c>
      <c r="E337" s="17" t="inlineStr">
        <is>
          <t>UN</t>
        </is>
      </c>
      <c r="F337" s="18" t="n">
        <v>2.0</v>
      </c>
      <c r="G337" s="19" t="n">
        <v>198.395267871</v>
      </c>
      <c r="H337" s="19" t="str">
        <f>ROUND(G337 * (1 + 32.78 / 100), 9)</f>
      </c>
      <c r="I337" s="19" t="str">
        <f>ROUND(F337 * h337, 9)</f>
      </c>
      <c r="J337" s="20" t="str">
        <f>i337 / 1181066.0424007571906268</f>
      </c>
    </row>
    <row customHeight="1" ht="26" r="338">
      <c r="A338" s="16" t="inlineStr">
        <is>
          <t> 4.12.14 </t>
        </is>
      </c>
      <c r="B338" s="18" t="inlineStr">
        <is>
          <t> 86914 </t>
        </is>
      </c>
      <c r="C338" s="16" t="inlineStr">
        <is>
          <t>SINAPI</t>
        </is>
      </c>
      <c r="D338" s="16" t="inlineStr">
        <is>
          <t>TORNEIRA CROMADA 1/2 OU 3/4 PARA TANQUE, PADRÃO MÉDIO - FORNECIMENTO E INSTALAÇÃO. AF_01/2020</t>
        </is>
      </c>
      <c r="E338" s="17" t="inlineStr">
        <is>
          <t>UN</t>
        </is>
      </c>
      <c r="F338" s="18" t="n">
        <v>2.0</v>
      </c>
      <c r="G338" s="19" t="n">
        <v>134.521806219</v>
      </c>
      <c r="H338" s="19" t="str">
        <f>ROUND(G338 * (1 + 32.78 / 100), 9)</f>
      </c>
      <c r="I338" s="19" t="str">
        <f>ROUND(F338 * h338, 9)</f>
      </c>
      <c r="J338" s="20" t="str">
        <f>i338 / 1181066.0424007571906268</f>
      </c>
    </row>
    <row customHeight="1" ht="39" r="339">
      <c r="A339" s="16" t="inlineStr">
        <is>
          <t> 4.12.15 </t>
        </is>
      </c>
      <c r="B339" s="18" t="inlineStr">
        <is>
          <t> 86909 </t>
        </is>
      </c>
      <c r="C339" s="16" t="inlineStr">
        <is>
          <t>SINAPI</t>
        </is>
      </c>
      <c r="D339" s="16" t="inlineStr">
        <is>
          <t>TORNEIRA CROMADA TUBO MÓVEL, DE MESA, 1/2 OU 3/4, PARA PIA DE COZINHA, PADRÃO ALTO - FORNECIMENTO E INSTALAÇÃO. AF_01/2020</t>
        </is>
      </c>
      <c r="E339" s="17" t="inlineStr">
        <is>
          <t>UN</t>
        </is>
      </c>
      <c r="F339" s="18" t="n">
        <v>3.0</v>
      </c>
      <c r="G339" s="19" t="n">
        <v>178.44917189</v>
      </c>
      <c r="H339" s="19" t="str">
        <f>ROUND(G339 * (1 + 32.78 / 100), 9)</f>
      </c>
      <c r="I339" s="19" t="str">
        <f>ROUND(F339 * h339, 9)</f>
      </c>
      <c r="J339" s="20" t="str">
        <f>i339 / 1181066.0424007571906268</f>
      </c>
    </row>
    <row customHeight="1" ht="26" r="340">
      <c r="A340" s="16" t="inlineStr">
        <is>
          <t> 4.12.16 </t>
        </is>
      </c>
      <c r="B340" s="18" t="inlineStr">
        <is>
          <t> 86872 </t>
        </is>
      </c>
      <c r="C340" s="16" t="inlineStr">
        <is>
          <t>SINAPI</t>
        </is>
      </c>
      <c r="D340" s="16" t="inlineStr">
        <is>
          <t>TANQUE DE LOUÇA BRANCA COM COLUNA, 30L OU EQUIVALENTE - FORNECIMENTO E INSTALAÇÃO. AF_01/2020</t>
        </is>
      </c>
      <c r="E340" s="17" t="inlineStr">
        <is>
          <t>UN</t>
        </is>
      </c>
      <c r="F340" s="18" t="n">
        <v>2.0</v>
      </c>
      <c r="G340" s="19" t="n">
        <v>711.67131763</v>
      </c>
      <c r="H340" s="19" t="str">
        <f>ROUND(G340 * (1 + 32.78 / 100), 9)</f>
      </c>
      <c r="I340" s="19" t="str">
        <f>ROUND(F340 * h340, 9)</f>
      </c>
      <c r="J340" s="20" t="str">
        <f>i340 / 1181066.0424007571906268</f>
      </c>
    </row>
    <row customHeight="1" ht="26" r="341">
      <c r="A341" s="16" t="inlineStr">
        <is>
          <t> 4.12.17 </t>
        </is>
      </c>
      <c r="B341" s="18" t="inlineStr">
        <is>
          <t> 100860 </t>
        </is>
      </c>
      <c r="C341" s="16" t="inlineStr">
        <is>
          <t>SINAPI</t>
        </is>
      </c>
      <c r="D341" s="16" t="inlineStr">
        <is>
          <t>CHUVEIRO ELÉTRICO COMUM CORPO PLÁSTICO, TIPO DUCHA  FORNECIMENTO E INSTALAÇÃO. AF_01/2020</t>
        </is>
      </c>
      <c r="E341" s="17" t="inlineStr">
        <is>
          <t>UN</t>
        </is>
      </c>
      <c r="F341" s="18" t="n">
        <v>3.0</v>
      </c>
      <c r="G341" s="19" t="n">
        <v>95.576767994</v>
      </c>
      <c r="H341" s="19" t="str">
        <f>ROUND(G341 * (1 + 32.78 / 100), 9)</f>
      </c>
      <c r="I341" s="19" t="str">
        <f>ROUND(F341 * h341, 9)</f>
      </c>
      <c r="J341" s="20" t="str">
        <f>i341 / 1181066.0424007571906268</f>
      </c>
    </row>
    <row customHeight="1" ht="26" r="342">
      <c r="A342" s="16" t="inlineStr">
        <is>
          <t> 4.12.18 </t>
        </is>
      </c>
      <c r="B342" s="18" t="inlineStr">
        <is>
          <t> 95546 </t>
        </is>
      </c>
      <c r="C342" s="16" t="inlineStr">
        <is>
          <t>SINAPI</t>
        </is>
      </c>
      <c r="D342" s="16" t="inlineStr">
        <is>
          <t>KIT DE ACESSORIOS PARA BANHEIRO EM METAL CROMADO, 5 PECAS, INCLUSO FIXAÇÃO. AF_01/2020</t>
        </is>
      </c>
      <c r="E342" s="17" t="inlineStr">
        <is>
          <t>UN</t>
        </is>
      </c>
      <c r="F342" s="18" t="n">
        <v>2.0</v>
      </c>
      <c r="G342" s="19" t="n">
        <v>165.210357639</v>
      </c>
      <c r="H342" s="19" t="str">
        <f>ROUND(G342 * (1 + 32.78 / 100), 9)</f>
      </c>
      <c r="I342" s="19" t="str">
        <f>ROUND(F342 * h342, 9)</f>
      </c>
      <c r="J342" s="20" t="str">
        <f>i342 / 1181066.0424007571906268</f>
      </c>
    </row>
    <row customHeight="1" ht="26" r="343">
      <c r="A343" s="16" t="inlineStr">
        <is>
          <t> 4.12.19 </t>
        </is>
      </c>
      <c r="B343" s="18" t="inlineStr">
        <is>
          <t> 102235 </t>
        </is>
      </c>
      <c r="C343" s="16" t="inlineStr">
        <is>
          <t>SINAPI</t>
        </is>
      </c>
      <c r="D343" s="16" t="inlineStr">
        <is>
          <t>DIVISÓRIA FIXA EM VIDRO TEMPERADO 10 MM, SEM ABERTURA. AF_01/2021</t>
        </is>
      </c>
      <c r="E343" s="17" t="inlineStr">
        <is>
          <t>m²</t>
        </is>
      </c>
      <c r="F343" s="18" t="n">
        <v>7.6</v>
      </c>
      <c r="G343" s="19" t="n">
        <v>622.781733666</v>
      </c>
      <c r="H343" s="19" t="str">
        <f>ROUND(G343 * (1 + 32.78 / 100), 9)</f>
      </c>
      <c r="I343" s="19" t="str">
        <f>ROUND(F343 * h343, 9)</f>
      </c>
      <c r="J343" s="20" t="str">
        <f>i343 / 1181066.0424007571906268</f>
      </c>
    </row>
    <row customHeight="1" ht="24" r="344">
      <c r="A344" s="8" t="inlineStr">
        <is>
          <t> 4.13 </t>
        </is>
      </c>
      <c r="B344" s="8"/>
      <c r="C344" s="8"/>
      <c r="D344" s="8" t="inlineStr">
        <is>
          <t>DIVERSOS</t>
        </is>
      </c>
      <c r="E344" s="8"/>
      <c r="F344" s="10"/>
      <c r="G344" s="8"/>
      <c r="H344" s="8"/>
      <c r="I344" s="11" t="n">
        <v>28513.91633328742</v>
      </c>
      <c r="J344" s="12" t="str">
        <f>i344 / 1181066.0424007571906268</f>
      </c>
    </row>
    <row customHeight="1" ht="39" r="345">
      <c r="A345" s="16" t="inlineStr">
        <is>
          <t> 4.13.1 </t>
        </is>
      </c>
      <c r="B345" s="18" t="inlineStr">
        <is>
          <t> 13108 </t>
        </is>
      </c>
      <c r="C345" s="16" t="inlineStr">
        <is>
          <t>ORSE</t>
        </is>
      </c>
      <c r="D345" s="16" t="inlineStr">
        <is>
          <t>CONCERTINA EM AÇO GALVANIZADO, ESPIRAL DE Ø = 980MM, 5 CLIPES P/ ESPIRAL, LÂMINA DE 30MM E FIO INTERNO DE 2,75MM, INCLUSIVE INSTALAÇÃO</t>
        </is>
      </c>
      <c r="E345" s="17" t="inlineStr">
        <is>
          <t>m</t>
        </is>
      </c>
      <c r="F345" s="18" t="n">
        <v>55.35</v>
      </c>
      <c r="G345" s="19" t="n">
        <v>63.81367795</v>
      </c>
      <c r="H345" s="19" t="str">
        <f>ROUND(G345 * (1 + 32.78 / 100), 9)</f>
      </c>
      <c r="I345" s="19" t="str">
        <f>ROUND(F345 * h345, 9)</f>
      </c>
      <c r="J345" s="20" t="str">
        <f>i345 / 1181066.0424007571906268</f>
      </c>
    </row>
    <row customHeight="1" ht="26" r="346">
      <c r="A346" s="16" t="inlineStr">
        <is>
          <t> 4.13.2 </t>
        </is>
      </c>
      <c r="B346" s="18" t="inlineStr">
        <is>
          <t> 090151 </t>
        </is>
      </c>
      <c r="C346" s="16" t="inlineStr">
        <is>
          <t>SBC</t>
        </is>
      </c>
      <c r="D346" s="16" t="inlineStr">
        <is>
          <t>ALVENARIA TIJOLO REFRATARIO 2,5 x 11,4 x 22,9 CIM./AREIA 1:6</t>
        </is>
      </c>
      <c r="E346" s="17" t="inlineStr">
        <is>
          <t>m²</t>
        </is>
      </c>
      <c r="F346" s="18" t="n">
        <v>6.48</v>
      </c>
      <c r="G346" s="19" t="n">
        <v>1042.45984</v>
      </c>
      <c r="H346" s="19" t="str">
        <f>ROUND(G346 * (1 + 32.78 / 100), 9)</f>
      </c>
      <c r="I346" s="19" t="str">
        <f>ROUND(F346 * h346, 9)</f>
      </c>
      <c r="J346" s="20" t="str">
        <f>i346 / 1181066.0424007571906268</f>
      </c>
    </row>
    <row customHeight="1" ht="24" r="347">
      <c r="A347" s="16" t="inlineStr">
        <is>
          <t> 4.13.3 </t>
        </is>
      </c>
      <c r="B347" s="18" t="inlineStr">
        <is>
          <t> 190578 </t>
        </is>
      </c>
      <c r="C347" s="16" t="inlineStr">
        <is>
          <t>SBC</t>
        </is>
      </c>
      <c r="D347" s="16" t="inlineStr">
        <is>
          <t>ARMARIO SOB BANCAS-COMPENSADO/LAMINADO</t>
        </is>
      </c>
      <c r="E347" s="17" t="inlineStr">
        <is>
          <t>m²</t>
        </is>
      </c>
      <c r="F347" s="18" t="n">
        <v>2.96</v>
      </c>
      <c r="G347" s="19" t="n">
        <v>2450.0</v>
      </c>
      <c r="H347" s="19" t="str">
        <f>ROUND(G347 * (1 + 32.78 / 100), 9)</f>
      </c>
      <c r="I347" s="19" t="str">
        <f>ROUND(F347 * h347, 9)</f>
      </c>
      <c r="J347" s="20" t="str">
        <f>i347 / 1181066.0424007571906268</f>
      </c>
    </row>
    <row customHeight="1" ht="26" r="348">
      <c r="A348" s="16" t="inlineStr">
        <is>
          <t> 4.13.4 </t>
        </is>
      </c>
      <c r="B348" s="18" t="inlineStr">
        <is>
          <t> 12636 </t>
        </is>
      </c>
      <c r="C348" s="16" t="inlineStr">
        <is>
          <t>ORSE</t>
        </is>
      </c>
      <c r="D348" s="16" t="inlineStr">
        <is>
          <t>LIMPEZA DE CAIXA DE PASSAGEM OU DE GORDURA COM REASSENTAMENTO DA TAMPA</t>
        </is>
      </c>
      <c r="E348" s="17" t="inlineStr">
        <is>
          <t>un</t>
        </is>
      </c>
      <c r="F348" s="18" t="n">
        <v>10.0</v>
      </c>
      <c r="G348" s="19" t="n">
        <v>24.815240626</v>
      </c>
      <c r="H348" s="19" t="str">
        <f>ROUND(G348 * (1 + 32.78 / 100), 9)</f>
      </c>
      <c r="I348" s="19" t="str">
        <f>ROUND(F348 * h348, 9)</f>
      </c>
      <c r="J348" s="20" t="str">
        <f>i348 / 1181066.0424007571906268</f>
      </c>
    </row>
    <row customHeight="1" ht="24" r="349">
      <c r="A349" s="16" t="inlineStr">
        <is>
          <t> 4.13.5 </t>
        </is>
      </c>
      <c r="B349" s="18" t="inlineStr">
        <is>
          <t> 12637 </t>
        </is>
      </c>
      <c r="C349" s="16" t="inlineStr">
        <is>
          <t>ORSE</t>
        </is>
      </c>
      <c r="D349" s="16" t="inlineStr">
        <is>
          <t>LIMPEZA DE FOSSA ATÉ 5M³</t>
        </is>
      </c>
      <c r="E349" s="17" t="inlineStr">
        <is>
          <t>un</t>
        </is>
      </c>
      <c r="F349" s="18" t="n">
        <v>1.0</v>
      </c>
      <c r="G349" s="19" t="n">
        <v>350.0</v>
      </c>
      <c r="H349" s="19" t="str">
        <f>ROUND(G349 * (1 + 32.78 / 100), 9)</f>
      </c>
      <c r="I349" s="19" t="str">
        <f>ROUND(F349 * h349, 9)</f>
      </c>
      <c r="J349" s="20" t="str">
        <f>i349 / 1181066.0424007571906268</f>
      </c>
    </row>
    <row customHeight="1" ht="24" r="350">
      <c r="A350" s="16" t="inlineStr">
        <is>
          <t> 4.13.6 </t>
        </is>
      </c>
      <c r="B350" s="18" t="inlineStr">
        <is>
          <t> 00000223 </t>
        </is>
      </c>
      <c r="C350" s="16" t="inlineStr">
        <is>
          <t>Próprio</t>
        </is>
      </c>
      <c r="D350" s="16" t="inlineStr">
        <is>
          <t>MOTOR PARA PORTÃO DESLIZANTE</t>
        </is>
      </c>
      <c r="E350" s="17" t="inlineStr">
        <is>
          <t>UND</t>
        </is>
      </c>
      <c r="F350" s="18" t="n">
        <v>1.0</v>
      </c>
      <c r="G350" s="19" t="n">
        <v>632.6884245</v>
      </c>
      <c r="H350" s="19" t="str">
        <f>ROUND(G350 * (1 + 32.78 / 100), 9)</f>
      </c>
      <c r="I350" s="19" t="str">
        <f>ROUND(F350 * h350, 9)</f>
      </c>
      <c r="J350" s="20" t="str">
        <f>i350 / 1181066.0424007571906268</f>
      </c>
    </row>
    <row customHeight="1" ht="24" r="351">
      <c r="A351" s="16" t="inlineStr">
        <is>
          <t> 4.13.7 </t>
        </is>
      </c>
      <c r="B351" s="18" t="inlineStr">
        <is>
          <t> 00000224 </t>
        </is>
      </c>
      <c r="C351" s="16" t="inlineStr">
        <is>
          <t>Próprio</t>
        </is>
      </c>
      <c r="D351" s="16" t="inlineStr">
        <is>
          <t>FECHADURA ELÉTRICA</t>
        </is>
      </c>
      <c r="E351" s="17" t="inlineStr">
        <is>
          <t>UND</t>
        </is>
      </c>
      <c r="F351" s="18" t="n">
        <v>1.0</v>
      </c>
      <c r="G351" s="19" t="n">
        <v>254.3124406</v>
      </c>
      <c r="H351" s="19" t="str">
        <f>ROUND(G351 * (1 + 32.78 / 100), 9)</f>
      </c>
      <c r="I351" s="19" t="str">
        <f>ROUND(F351 * h351, 9)</f>
      </c>
      <c r="J351" s="20" t="str">
        <f>i351 / 1181066.0424007571906268</f>
      </c>
    </row>
    <row customHeight="1" ht="24" r="352">
      <c r="A352" s="16" t="inlineStr">
        <is>
          <t> 4.13.8 </t>
        </is>
      </c>
      <c r="B352" s="18" t="inlineStr">
        <is>
          <t> 00000225 </t>
        </is>
      </c>
      <c r="C352" s="16" t="inlineStr">
        <is>
          <t>Próprio</t>
        </is>
      </c>
      <c r="D352" s="16" t="inlineStr">
        <is>
          <t>KIT CERCA ELÉTRICA INDUSTRIAL</t>
        </is>
      </c>
      <c r="E352" s="17" t="inlineStr">
        <is>
          <t>UND</t>
        </is>
      </c>
      <c r="F352" s="18" t="n">
        <v>1.0</v>
      </c>
      <c r="G352" s="19" t="n">
        <v>1470.8236136</v>
      </c>
      <c r="H352" s="19" t="str">
        <f>ROUND(G352 * (1 + 32.78 / 100), 9)</f>
      </c>
      <c r="I352" s="19" t="str">
        <f>ROUND(F352 * h352, 9)</f>
      </c>
      <c r="J352" s="20" t="str">
        <f>i352 / 1181066.0424007571906268</f>
      </c>
    </row>
    <row customHeight="1" ht="39" r="353">
      <c r="A353" s="16" t="inlineStr">
        <is>
          <t> 4.13.9 </t>
        </is>
      </c>
      <c r="B353" s="18" t="inlineStr">
        <is>
          <t> 98534 </t>
        </is>
      </c>
      <c r="C353" s="16" t="inlineStr">
        <is>
          <t>SINAPI</t>
        </is>
      </c>
      <c r="D353" s="16" t="inlineStr">
        <is>
          <t>PODA EM ALTURA DE ÁRVORE COM DIÂMETRO DE TRONCO MAIOR OU IGUAL A 0,40 M E MENOR QUE 0,60 M.AF_05/2018</t>
        </is>
      </c>
      <c r="E353" s="17" t="inlineStr">
        <is>
          <t>UN</t>
        </is>
      </c>
      <c r="F353" s="18" t="n">
        <v>1.0</v>
      </c>
      <c r="G353" s="19" t="n">
        <v>768.450185424</v>
      </c>
      <c r="H353" s="19" t="str">
        <f>ROUND(G353 * (1 + 32.78 / 100), 9)</f>
      </c>
      <c r="I353" s="19" t="str">
        <f>ROUND(F353 * h353, 9)</f>
      </c>
      <c r="J353" s="20" t="str">
        <f>i353 / 1181066.0424007571906268</f>
      </c>
    </row>
    <row customHeight="1" ht="26" r="354">
      <c r="A354" s="16" t="inlineStr">
        <is>
          <t> 4.13.10 </t>
        </is>
      </c>
      <c r="B354" s="18" t="inlineStr">
        <is>
          <t> 97595 </t>
        </is>
      </c>
      <c r="C354" s="16" t="inlineStr">
        <is>
          <t>SINAPI</t>
        </is>
      </c>
      <c r="D354" s="16" t="inlineStr">
        <is>
          <t>SENSOR DE PRESENÇA COM FOTOCÉLULA, FIXAÇÃO EM PAREDE - FORNECIMENTO E INSTALAÇÃO. AF_02/2020</t>
        </is>
      </c>
      <c r="E354" s="17" t="inlineStr">
        <is>
          <t>UN</t>
        </is>
      </c>
      <c r="F354" s="18" t="n">
        <v>2.0</v>
      </c>
      <c r="G354" s="19" t="n">
        <v>105.451375994</v>
      </c>
      <c r="H354" s="19" t="str">
        <f>ROUND(G354 * (1 + 32.78 / 100), 9)</f>
      </c>
      <c r="I354" s="19" t="str">
        <f>ROUND(F354 * h354, 9)</f>
      </c>
      <c r="J354" s="20" t="str">
        <f>i354 / 1181066.0424007571906268</f>
      </c>
    </row>
    <row customHeight="1" ht="24" r="355">
      <c r="A355" s="8" t="inlineStr">
        <is>
          <t> 5 </t>
        </is>
      </c>
      <c r="B355" s="8"/>
      <c r="C355" s="8"/>
      <c r="D355" s="8" t="inlineStr">
        <is>
          <t>RESIDÊNCIA 04</t>
        </is>
      </c>
      <c r="E355" s="8"/>
      <c r="F355" s="10"/>
      <c r="G355" s="8"/>
      <c r="H355" s="8"/>
      <c r="I355" s="11" t="n">
        <v>339616.14913802576</v>
      </c>
      <c r="J355" s="12" t="str">
        <f>i355 / 1181066.0424007571906268</f>
      </c>
    </row>
    <row customHeight="1" ht="24" r="356">
      <c r="A356" s="8" t="inlineStr">
        <is>
          <t> 5.1 </t>
        </is>
      </c>
      <c r="B356" s="8"/>
      <c r="C356" s="8"/>
      <c r="D356" s="8" t="inlineStr">
        <is>
          <t>DEMOLIÇÕES E RETIRADAS</t>
        </is>
      </c>
      <c r="E356" s="8"/>
      <c r="F356" s="10"/>
      <c r="G356" s="8"/>
      <c r="H356" s="8"/>
      <c r="I356" s="11" t="n">
        <v>9606.75609182527</v>
      </c>
      <c r="J356" s="12" t="str">
        <f>i356 / 1181066.0424007571906268</f>
      </c>
    </row>
    <row customHeight="1" ht="26" r="357">
      <c r="A357" s="16" t="inlineStr">
        <is>
          <t> 5.1.1 </t>
        </is>
      </c>
      <c r="B357" s="18" t="inlineStr">
        <is>
          <t> 97622 </t>
        </is>
      </c>
      <c r="C357" s="16" t="inlineStr">
        <is>
          <t>SINAPI</t>
        </is>
      </c>
      <c r="D357" s="16" t="inlineStr">
        <is>
          <t>DEMOLIÇÃO DE ALVENARIA DE BLOCO FURADO, DE FORMA MANUAL, SEM REAPROVEITAMENTO. AF_12/2017</t>
        </is>
      </c>
      <c r="E357" s="17" t="inlineStr">
        <is>
          <t>m³</t>
        </is>
      </c>
      <c r="F357" s="18" t="n">
        <v>9.74</v>
      </c>
      <c r="G357" s="19" t="n">
        <v>43.867891081</v>
      </c>
      <c r="H357" s="19" t="str">
        <f>ROUND(G357 * (1 + 32.78 / 100), 9)</f>
      </c>
      <c r="I357" s="19" t="str">
        <f>ROUND(F357 * h357, 9)</f>
      </c>
      <c r="J357" s="20" t="str">
        <f>i357 / 1181066.0424007571906268</f>
      </c>
    </row>
    <row customHeight="1" ht="26" r="358">
      <c r="A358" s="16" t="inlineStr">
        <is>
          <t> 5.1.2 </t>
        </is>
      </c>
      <c r="B358" s="18" t="inlineStr">
        <is>
          <t> 97644 </t>
        </is>
      </c>
      <c r="C358" s="16" t="inlineStr">
        <is>
          <t>SINAPI</t>
        </is>
      </c>
      <c r="D358" s="16" t="inlineStr">
        <is>
          <t>REMOÇÃO DE PORTAS, DE FORMA MANUAL, SEM REAPROVEITAMENTO. AF_12/2017</t>
        </is>
      </c>
      <c r="E358" s="17" t="inlineStr">
        <is>
          <t>m²</t>
        </is>
      </c>
      <c r="F358" s="18" t="n">
        <v>26.04</v>
      </c>
      <c r="G358" s="19" t="n">
        <v>7.414802089</v>
      </c>
      <c r="H358" s="19" t="str">
        <f>ROUND(G358 * (1 + 32.78 / 100), 9)</f>
      </c>
      <c r="I358" s="19" t="str">
        <f>ROUND(F358 * h358, 9)</f>
      </c>
      <c r="J358" s="20" t="str">
        <f>i358 / 1181066.0424007571906268</f>
      </c>
    </row>
    <row customHeight="1" ht="26" r="359">
      <c r="A359" s="16" t="inlineStr">
        <is>
          <t> 5.1.3 </t>
        </is>
      </c>
      <c r="B359" s="18" t="inlineStr">
        <is>
          <t> 97645 </t>
        </is>
      </c>
      <c r="C359" s="16" t="inlineStr">
        <is>
          <t>SINAPI</t>
        </is>
      </c>
      <c r="D359" s="16" t="inlineStr">
        <is>
          <t>REMOÇÃO DE JANELAS, DE FORMA MANUAL, SEM REAPROVEITAMENTO. AF_12/2017</t>
        </is>
      </c>
      <c r="E359" s="17" t="inlineStr">
        <is>
          <t>m²</t>
        </is>
      </c>
      <c r="F359" s="18" t="n">
        <v>12.77</v>
      </c>
      <c r="G359" s="19" t="n">
        <v>19.139779775</v>
      </c>
      <c r="H359" s="19" t="str">
        <f>ROUND(G359 * (1 + 32.78 / 100), 9)</f>
      </c>
      <c r="I359" s="19" t="str">
        <f>ROUND(F359 * h359, 9)</f>
      </c>
      <c r="J359" s="20" t="str">
        <f>i359 / 1181066.0424007571906268</f>
      </c>
    </row>
    <row customHeight="1" ht="26" r="360">
      <c r="A360" s="16" t="inlineStr">
        <is>
          <t> 5.1.4 </t>
        </is>
      </c>
      <c r="B360" s="18" t="inlineStr">
        <is>
          <t> 97640 </t>
        </is>
      </c>
      <c r="C360" s="16" t="inlineStr">
        <is>
          <t>SINAPI</t>
        </is>
      </c>
      <c r="D360" s="16" t="inlineStr">
        <is>
          <t>REMOÇÃO DE FORROS DE DRYWALL, PVC E FIBROMINERAL, DE FORMA MANUAL, SEM REAPROVEITAMENTO. AF_12/2017</t>
        </is>
      </c>
      <c r="E360" s="17" t="inlineStr">
        <is>
          <t>m²</t>
        </is>
      </c>
      <c r="F360" s="18" t="n">
        <v>143.92</v>
      </c>
      <c r="G360" s="19" t="n">
        <v>1.510677907</v>
      </c>
      <c r="H360" s="19" t="str">
        <f>ROUND(G360 * (1 + 32.78 / 100), 9)</f>
      </c>
      <c r="I360" s="19" t="str">
        <f>ROUND(F360 * h360, 9)</f>
      </c>
      <c r="J360" s="20" t="str">
        <f>i360 / 1181066.0424007571906268</f>
      </c>
    </row>
    <row customHeight="1" ht="39" r="361">
      <c r="A361" s="16" t="inlineStr">
        <is>
          <t> 5.1.5 </t>
        </is>
      </c>
      <c r="B361" s="18" t="inlineStr">
        <is>
          <t> 97642 </t>
        </is>
      </c>
      <c r="C361" s="16" t="inlineStr">
        <is>
          <t>SINAPI</t>
        </is>
      </c>
      <c r="D361" s="16" t="inlineStr">
        <is>
          <t>REMOÇÃO DE TRAMA METÁLICA OU DE MADEIRA PARA FORRO, DE FORMA MANUAL, SEM REAPROVEITAMENTO. AF_12/2017</t>
        </is>
      </c>
      <c r="E361" s="17" t="inlineStr">
        <is>
          <t>m²</t>
        </is>
      </c>
      <c r="F361" s="18" t="n">
        <v>143.92</v>
      </c>
      <c r="G361" s="19" t="n">
        <v>2.164248797</v>
      </c>
      <c r="H361" s="19" t="str">
        <f>ROUND(G361 * (1 + 32.78 / 100), 9)</f>
      </c>
      <c r="I361" s="19" t="str">
        <f>ROUND(F361 * h361, 9)</f>
      </c>
      <c r="J361" s="20" t="str">
        <f>i361 / 1181066.0424007571906268</f>
      </c>
    </row>
    <row customHeight="1" ht="26" r="362">
      <c r="A362" s="16" t="inlineStr">
        <is>
          <t> 5.1.6 </t>
        </is>
      </c>
      <c r="B362" s="18" t="inlineStr">
        <is>
          <t> 97633 </t>
        </is>
      </c>
      <c r="C362" s="16" t="inlineStr">
        <is>
          <t>SINAPI</t>
        </is>
      </c>
      <c r="D362" s="16" t="inlineStr">
        <is>
          <t>DEMOLIÇÃO DE REVESTIMENTO CERÂMICO, DE FORMA MANUAL, SEM REAPROVEITAMENTO. AF_12/2017</t>
        </is>
      </c>
      <c r="E362" s="17" t="inlineStr">
        <is>
          <t>m²</t>
        </is>
      </c>
      <c r="F362" s="18" t="n">
        <v>300.41</v>
      </c>
      <c r="G362" s="19" t="n">
        <v>18.431892858</v>
      </c>
      <c r="H362" s="19" t="str">
        <f>ROUND(G362 * (1 + 32.78 / 100), 9)</f>
      </c>
      <c r="I362" s="19" t="str">
        <f>ROUND(F362 * h362, 9)</f>
      </c>
      <c r="J362" s="20" t="str">
        <f>i362 / 1181066.0424007571906268</f>
      </c>
    </row>
    <row customHeight="1" ht="26" r="363">
      <c r="A363" s="16" t="inlineStr">
        <is>
          <t> 5.1.7 </t>
        </is>
      </c>
      <c r="B363" s="18" t="inlineStr">
        <is>
          <t> 97663 </t>
        </is>
      </c>
      <c r="C363" s="16" t="inlineStr">
        <is>
          <t>SINAPI</t>
        </is>
      </c>
      <c r="D363" s="16" t="inlineStr">
        <is>
          <t>REMOÇÃO DE LOUÇAS, DE FORMA MANUAL, SEM REAPROVEITAMENTO. AF_12/2017</t>
        </is>
      </c>
      <c r="E363" s="17" t="inlineStr">
        <is>
          <t>UN</t>
        </is>
      </c>
      <c r="F363" s="18" t="n">
        <v>9.0</v>
      </c>
      <c r="G363" s="19" t="n">
        <v>9.768044958</v>
      </c>
      <c r="H363" s="19" t="str">
        <f>ROUND(G363 * (1 + 32.78 / 100), 9)</f>
      </c>
      <c r="I363" s="19" t="str">
        <f>ROUND(F363 * h363, 9)</f>
      </c>
      <c r="J363" s="20" t="str">
        <f>i363 / 1181066.0424007571906268</f>
      </c>
    </row>
    <row customHeight="1" ht="52" r="364">
      <c r="A364" s="16" t="inlineStr">
        <is>
          <t> 5.1.8 </t>
        </is>
      </c>
      <c r="B364" s="18" t="inlineStr">
        <is>
          <t> 100981 </t>
        </is>
      </c>
      <c r="C364" s="16" t="inlineStr">
        <is>
          <t>SINAPI</t>
        </is>
      </c>
      <c r="D364" s="16" t="inlineStr">
        <is>
          <t>CARGA, MANOBRA E DESCARGA DE ENTULHO EM CAMINHÃO BASCULANTE 6 M³ - CARGA COM ESCAVADEIRA HIDRÁULICA  (CAÇAMBA DE 0,80 M³ / 111 HP) E DESCARGA LIVRE (UNIDADE: M3). AF_07/2020</t>
        </is>
      </c>
      <c r="E364" s="17" t="inlineStr">
        <is>
          <t>m³</t>
        </is>
      </c>
      <c r="F364" s="18" t="n">
        <v>24.23</v>
      </c>
      <c r="G364" s="19" t="n">
        <v>8.930673586</v>
      </c>
      <c r="H364" s="19" t="str">
        <f>ROUND(G364 * (1 + 32.78 / 100), 9)</f>
      </c>
      <c r="I364" s="19" t="str">
        <f>ROUND(F364 * h364, 9)</f>
      </c>
      <c r="J364" s="20" t="str">
        <f>i364 / 1181066.0424007571906268</f>
      </c>
    </row>
    <row customHeight="1" ht="24" r="365">
      <c r="A365" s="8" t="inlineStr">
        <is>
          <t> 5.2 </t>
        </is>
      </c>
      <c r="B365" s="8"/>
      <c r="C365" s="8"/>
      <c r="D365" s="8" t="inlineStr">
        <is>
          <t>FUNDAÇÃO / ESTRUTURA</t>
        </is>
      </c>
      <c r="E365" s="8"/>
      <c r="F365" s="10"/>
      <c r="G365" s="8"/>
      <c r="H365" s="8"/>
      <c r="I365" s="11" t="n">
        <v>4157.859351958714</v>
      </c>
      <c r="J365" s="12" t="str">
        <f>i365 / 1181066.0424007571906268</f>
      </c>
    </row>
    <row customHeight="1" ht="26" r="366">
      <c r="A366" s="16" t="inlineStr">
        <is>
          <t> 5.2.1 </t>
        </is>
      </c>
      <c r="B366" s="18" t="inlineStr">
        <is>
          <t> 96522 </t>
        </is>
      </c>
      <c r="C366" s="16" t="inlineStr">
        <is>
          <t>SINAPI</t>
        </is>
      </c>
      <c r="D366" s="16" t="inlineStr">
        <is>
          <t>ESCAVAÇÃO MANUAL PARA BLOCO DE COROAMENTO OU SAPATA, SEM PREVISÃO DE FÔRMA. AF_06/2017</t>
        </is>
      </c>
      <c r="E366" s="17" t="inlineStr">
        <is>
          <t>m³</t>
        </is>
      </c>
      <c r="F366" s="18" t="n">
        <v>0.64</v>
      </c>
      <c r="G366" s="19" t="n">
        <v>109.519572726</v>
      </c>
      <c r="H366" s="19" t="str">
        <f>ROUND(G366 * (1 + 32.78 / 100), 9)</f>
      </c>
      <c r="I366" s="19" t="str">
        <f>ROUND(F366 * h366, 9)</f>
      </c>
      <c r="J366" s="20" t="str">
        <f>i366 / 1181066.0424007571906268</f>
      </c>
    </row>
    <row customHeight="1" ht="26" r="367">
      <c r="A367" s="16" t="inlineStr">
        <is>
          <t> 5.2.2 </t>
        </is>
      </c>
      <c r="B367" s="18" t="inlineStr">
        <is>
          <t> 96546 </t>
        </is>
      </c>
      <c r="C367" s="16" t="inlineStr">
        <is>
          <t>SINAPI</t>
        </is>
      </c>
      <c r="D367" s="16" t="inlineStr">
        <is>
          <t>ARMAÇÃO DE BLOCO, VIGA BALDRAME OU SAPATA UTILIZANDO AÇO CA-50 DE 10 MM - MONTAGEM. AF_06/2017</t>
        </is>
      </c>
      <c r="E367" s="17" t="inlineStr">
        <is>
          <t>KG</t>
        </is>
      </c>
      <c r="F367" s="18" t="n">
        <v>17.0</v>
      </c>
      <c r="G367" s="19" t="n">
        <v>13.765056809</v>
      </c>
      <c r="H367" s="19" t="str">
        <f>ROUND(G367 * (1 + 32.78 / 100), 9)</f>
      </c>
      <c r="I367" s="19" t="str">
        <f>ROUND(F367 * h367, 9)</f>
      </c>
      <c r="J367" s="20" t="str">
        <f>i367 / 1181066.0424007571906268</f>
      </c>
    </row>
    <row customHeight="1" ht="39" r="368">
      <c r="A368" s="16" t="inlineStr">
        <is>
          <t> 5.2.3 </t>
        </is>
      </c>
      <c r="B368" s="18" t="inlineStr">
        <is>
          <t> 96555 </t>
        </is>
      </c>
      <c r="C368" s="16" t="inlineStr">
        <is>
          <t>SINAPI</t>
        </is>
      </c>
      <c r="D368" s="16" t="inlineStr">
        <is>
          <t>CONCRETAGEM DE BLOCOS DE COROAMENTO E VIGAS BALDRAME, FCK 30 MPA, COM USO DE JERICA  LANÇAMENTO, ADENSAMENTO E ACABAMENTO. AF_06/2017</t>
        </is>
      </c>
      <c r="E368" s="17" t="inlineStr">
        <is>
          <t>m³</t>
        </is>
      </c>
      <c r="F368" s="18" t="n">
        <v>0.64</v>
      </c>
      <c r="G368" s="19" t="n">
        <v>952.923889487</v>
      </c>
      <c r="H368" s="19" t="str">
        <f>ROUND(G368 * (1 + 32.78 / 100), 9)</f>
      </c>
      <c r="I368" s="19" t="str">
        <f>ROUND(F368 * h368, 9)</f>
      </c>
      <c r="J368" s="20" t="str">
        <f>i368 / 1181066.0424007571906268</f>
      </c>
    </row>
    <row customHeight="1" ht="26" r="369">
      <c r="A369" s="16" t="inlineStr">
        <is>
          <t> 5.2.4 </t>
        </is>
      </c>
      <c r="B369" s="18" t="inlineStr">
        <is>
          <t> 4247 </t>
        </is>
      </c>
      <c r="C369" s="16" t="inlineStr">
        <is>
          <t>ORSE</t>
        </is>
      </c>
      <c r="D369" s="16" t="inlineStr">
        <is>
          <t>PEÇA DE EUCALIPTO TRATADO, D= 19 A 22CM, L = 3,00M - FORNECIMENTO</t>
        </is>
      </c>
      <c r="E369" s="17" t="inlineStr">
        <is>
          <t>un</t>
        </is>
      </c>
      <c r="F369" s="18" t="n">
        <v>6.0</v>
      </c>
      <c r="G369" s="19" t="n">
        <v>369.57</v>
      </c>
      <c r="H369" s="19" t="str">
        <f>ROUND(G369 * (1 + 32.78 / 100), 9)</f>
      </c>
      <c r="I369" s="19" t="str">
        <f>ROUND(F369 * h369, 9)</f>
      </c>
      <c r="J369" s="20" t="str">
        <f>i369 / 1181066.0424007571906268</f>
      </c>
    </row>
    <row customHeight="1" ht="24" r="370">
      <c r="A370" s="8" t="inlineStr">
        <is>
          <t> 5.3 </t>
        </is>
      </c>
      <c r="B370" s="8"/>
      <c r="C370" s="8"/>
      <c r="D370" s="8" t="inlineStr">
        <is>
          <t>ALVENARIA E DIVISÓRIAS</t>
        </is>
      </c>
      <c r="E370" s="8"/>
      <c r="F370" s="10"/>
      <c r="G370" s="8"/>
      <c r="H370" s="8"/>
      <c r="I370" s="11" t="n">
        <v>1665.8708026246072</v>
      </c>
      <c r="J370" s="12" t="str">
        <f>i370 / 1181066.0424007571906268</f>
      </c>
    </row>
    <row customHeight="1" ht="65" r="371">
      <c r="A371" s="16" t="inlineStr">
        <is>
          <t> 5.3.1 </t>
        </is>
      </c>
      <c r="B371" s="18" t="inlineStr">
        <is>
          <t> 87514 </t>
        </is>
      </c>
      <c r="C371" s="16" t="inlineStr">
        <is>
          <t>SINAPI</t>
        </is>
      </c>
      <c r="D371" s="16" t="inlineStr">
        <is>
          <t>ALVENARIA DE VEDAÇÃO DE BLOCOS CERÂMICOS FURADOS NA HORIZONTAL DE 11,5X19X19CM (ESPESSURA 11,5CM) DE PAREDES COM ÁREA LÍQUIDA MENOR QUE 6M² COM VÃOS E ARGAMASSA DE ASSENTAMENTO COM PREPARO MANUAL. AF_06/2014</t>
        </is>
      </c>
      <c r="E371" s="17" t="inlineStr">
        <is>
          <t>m²</t>
        </is>
      </c>
      <c r="F371" s="18" t="n">
        <v>12.76</v>
      </c>
      <c r="G371" s="19" t="n">
        <v>98.323646737</v>
      </c>
      <c r="H371" s="19" t="str">
        <f>ROUND(G371 * (1 + 32.78 / 100), 9)</f>
      </c>
      <c r="I371" s="19" t="str">
        <f>ROUND(F371 * h371, 9)</f>
      </c>
      <c r="J371" s="20" t="str">
        <f>i371 / 1181066.0424007571906268</f>
      </c>
    </row>
    <row customHeight="1" ht="24" r="372">
      <c r="A372" s="8" t="inlineStr">
        <is>
          <t> 5.4 </t>
        </is>
      </c>
      <c r="B372" s="8"/>
      <c r="C372" s="8"/>
      <c r="D372" s="8" t="inlineStr">
        <is>
          <t>PAVIMENTAÇÃO</t>
        </is>
      </c>
      <c r="E372" s="8"/>
      <c r="F372" s="10"/>
      <c r="G372" s="8"/>
      <c r="H372" s="8"/>
      <c r="I372" s="11" t="n">
        <v>78003.95427210521</v>
      </c>
      <c r="J372" s="12" t="str">
        <f>i372 / 1181066.0424007571906268</f>
      </c>
    </row>
    <row customHeight="1" ht="39" r="373">
      <c r="A373" s="16" t="inlineStr">
        <is>
          <t> 5.4.1 </t>
        </is>
      </c>
      <c r="B373" s="18" t="inlineStr">
        <is>
          <t> 87622 </t>
        </is>
      </c>
      <c r="C373" s="16" t="inlineStr">
        <is>
          <t>SINAPI</t>
        </is>
      </c>
      <c r="D373" s="16" t="inlineStr">
        <is>
          <t>CONTRAPISO EM ARGAMASSA TRAÇO 1:4 (CIMENTO E AREIA), PREPARO MANUAL, APLICADO EM ÁREAS SECAS SOBRE LAJE, ADERIDO, ESPESSURA 2CM. AF_06/2014</t>
        </is>
      </c>
      <c r="E373" s="17" t="inlineStr">
        <is>
          <t>m²</t>
        </is>
      </c>
      <c r="F373" s="18" t="n">
        <v>197.18</v>
      </c>
      <c r="G373" s="19" t="n">
        <v>38.710536036</v>
      </c>
      <c r="H373" s="19" t="str">
        <f>ROUND(G373 * (1 + 32.78 / 100), 9)</f>
      </c>
      <c r="I373" s="19" t="str">
        <f>ROUND(F373 * h373, 9)</f>
      </c>
      <c r="J373" s="20" t="str">
        <f>i373 / 1181066.0424007571906268</f>
      </c>
    </row>
    <row customHeight="1" ht="39" r="374">
      <c r="A374" s="16" t="inlineStr">
        <is>
          <t> 5.4.2 </t>
        </is>
      </c>
      <c r="B374" s="18" t="inlineStr">
        <is>
          <t> 98560 </t>
        </is>
      </c>
      <c r="C374" s="16" t="inlineStr">
        <is>
          <t>SINAPI</t>
        </is>
      </c>
      <c r="D374" s="16" t="inlineStr">
        <is>
          <t>IMPERMEABILIZAÇÃO DE PISO COM ARGAMASSA DE CIMENTO E AREIA, COM ADITIVO IMPERMEABILIZANTE, E = 2CM. AF_06/2018</t>
        </is>
      </c>
      <c r="E374" s="17" t="inlineStr">
        <is>
          <t>m²</t>
        </is>
      </c>
      <c r="F374" s="18" t="n">
        <v>35.15</v>
      </c>
      <c r="G374" s="19" t="n">
        <v>48.683832556</v>
      </c>
      <c r="H374" s="19" t="str">
        <f>ROUND(G374 * (1 + 32.78 / 100), 9)</f>
      </c>
      <c r="I374" s="19" t="str">
        <f>ROUND(F374 * h374, 9)</f>
      </c>
      <c r="J374" s="20" t="str">
        <f>i374 / 1181066.0424007571906268</f>
      </c>
    </row>
    <row customHeight="1" ht="39" r="375">
      <c r="A375" s="16" t="inlineStr">
        <is>
          <t> 5.4.3 </t>
        </is>
      </c>
      <c r="B375" s="18" t="inlineStr">
        <is>
          <t> 87263 </t>
        </is>
      </c>
      <c r="C375" s="16" t="inlineStr">
        <is>
          <t>SINAPI</t>
        </is>
      </c>
      <c r="D375" s="16" t="inlineStr">
        <is>
          <t>REVESTIMENTO CERÂMICO PARA PISO COM PLACAS TIPO PORCELANATO DE DIMENSÕES 60X60 CM APLICADA EM AMBIENTES DE ÁREA MAIOR QUE 10 M². AF_06/2014</t>
        </is>
      </c>
      <c r="E375" s="17" t="inlineStr">
        <is>
          <t>m²</t>
        </is>
      </c>
      <c r="F375" s="18" t="n">
        <v>122.06</v>
      </c>
      <c r="G375" s="19" t="n">
        <v>194.396874667</v>
      </c>
      <c r="H375" s="19" t="str">
        <f>ROUND(G375 * (1 + 32.78 / 100), 9)</f>
      </c>
      <c r="I375" s="19" t="str">
        <f>ROUND(F375 * h375, 9)</f>
      </c>
      <c r="J375" s="20" t="str">
        <f>i375 / 1181066.0424007571906268</f>
      </c>
    </row>
    <row customHeight="1" ht="39" r="376">
      <c r="A376" s="16" t="inlineStr">
        <is>
          <t> 5.4.4 </t>
        </is>
      </c>
      <c r="B376" s="18" t="inlineStr">
        <is>
          <t> 87259 </t>
        </is>
      </c>
      <c r="C376" s="16" t="inlineStr">
        <is>
          <t>SINAPI</t>
        </is>
      </c>
      <c r="D376" s="16" t="inlineStr">
        <is>
          <t>REVESTIMENTO CERÂMICO PARA PISO COM PLACAS TIPO PORCELANATO DE DIMENSÕES 45X45 CM APLICADA EM AMBIENTES DE ÁREA ENTRE 5 M² E 10 M². AF_06/2014</t>
        </is>
      </c>
      <c r="E376" s="17" t="inlineStr">
        <is>
          <t>m²</t>
        </is>
      </c>
      <c r="F376" s="18" t="n">
        <v>54.87</v>
      </c>
      <c r="G376" s="19" t="n">
        <v>177.660494051</v>
      </c>
      <c r="H376" s="19" t="str">
        <f>ROUND(G376 * (1 + 32.78 / 100), 9)</f>
      </c>
      <c r="I376" s="19" t="str">
        <f>ROUND(F376 * h376, 9)</f>
      </c>
      <c r="J376" s="20" t="str">
        <f>i376 / 1181066.0424007571906268</f>
      </c>
    </row>
    <row customHeight="1" ht="39" r="377">
      <c r="A377" s="16" t="inlineStr">
        <is>
          <t> 5.4.5 </t>
        </is>
      </c>
      <c r="B377" s="18" t="inlineStr">
        <is>
          <t> 87260 </t>
        </is>
      </c>
      <c r="C377" s="16" t="inlineStr">
        <is>
          <t>SINAPI</t>
        </is>
      </c>
      <c r="D377" s="16" t="inlineStr">
        <is>
          <t>REVESTIMENTO CERÂMICO PARA PISO COM PLACAS TIPO PORCELANATO DE DIMENSÕES 45X45 CM APLICADA EM AMBIENTES DE ÁREA MAIOR QUE 10 M². AF_06/2014</t>
        </is>
      </c>
      <c r="E377" s="17" t="inlineStr">
        <is>
          <t>m²</t>
        </is>
      </c>
      <c r="F377" s="18" t="n">
        <v>20.25</v>
      </c>
      <c r="G377" s="19" t="n">
        <v>169.278213497</v>
      </c>
      <c r="H377" s="19" t="str">
        <f>ROUND(G377 * (1 + 32.78 / 100), 9)</f>
      </c>
      <c r="I377" s="19" t="str">
        <f>ROUND(F377 * h377, 9)</f>
      </c>
      <c r="J377" s="20" t="str">
        <f>i377 / 1181066.0424007571906268</f>
      </c>
    </row>
    <row customHeight="1" ht="39" r="378">
      <c r="A378" s="16" t="inlineStr">
        <is>
          <t> 5.4.6 </t>
        </is>
      </c>
      <c r="B378" s="18" t="inlineStr">
        <is>
          <t> 98680 </t>
        </is>
      </c>
      <c r="C378" s="16" t="inlineStr">
        <is>
          <t>SINAPI</t>
        </is>
      </c>
      <c r="D378" s="16" t="inlineStr">
        <is>
          <t>PISO CIMENTADO, TRAÇO 1:3 (CIMENTO E AREIA), ACABAMENTO LISO, ESPESSURA 3,0 CM, PREPARO MECÂNICO DA ARGAMASSA. AF_09/2020</t>
        </is>
      </c>
      <c r="E378" s="17" t="inlineStr">
        <is>
          <t>m²</t>
        </is>
      </c>
      <c r="F378" s="18" t="n">
        <v>88.66</v>
      </c>
      <c r="G378" s="19" t="n">
        <v>51.56269598</v>
      </c>
      <c r="H378" s="19" t="str">
        <f>ROUND(G378 * (1 + 32.78 / 100), 9)</f>
      </c>
      <c r="I378" s="19" t="str">
        <f>ROUND(F378 * h378, 9)</f>
      </c>
      <c r="J378" s="20" t="str">
        <f>i378 / 1181066.0424007571906268</f>
      </c>
    </row>
    <row customHeight="1" ht="52" r="379">
      <c r="A379" s="16" t="inlineStr">
        <is>
          <t> 5.4.7 </t>
        </is>
      </c>
      <c r="B379" s="18" t="inlineStr">
        <is>
          <t> 94992 </t>
        </is>
      </c>
      <c r="C379" s="16" t="inlineStr">
        <is>
          <t>SINAPI</t>
        </is>
      </c>
      <c r="D379" s="16" t="inlineStr">
        <is>
          <t>EXECUÇÃO DE PASSEIO (CALÇADA) OU PISO DE CONCRETO COM CONCRETO MOLDADO IN LOCO, FEITO EM OBRA, ACABAMENTO CONVENCIONAL, ESPESSURA 6 CM, ARMADO. AF_07/2016</t>
        </is>
      </c>
      <c r="E379" s="17" t="inlineStr">
        <is>
          <t>m²</t>
        </is>
      </c>
      <c r="F379" s="18" t="n">
        <v>70.0</v>
      </c>
      <c r="G379" s="19" t="n">
        <v>86.379718665</v>
      </c>
      <c r="H379" s="19" t="str">
        <f>ROUND(G379 * (1 + 32.78 / 100), 9)</f>
      </c>
      <c r="I379" s="19" t="str">
        <f>ROUND(F379 * h379, 9)</f>
      </c>
      <c r="J379" s="20" t="str">
        <f>i379 / 1181066.0424007571906268</f>
      </c>
    </row>
    <row customHeight="1" ht="26" r="380">
      <c r="A380" s="16" t="inlineStr">
        <is>
          <t> 5.4.8 </t>
        </is>
      </c>
      <c r="B380" s="18" t="inlineStr">
        <is>
          <t> 101094 </t>
        </is>
      </c>
      <c r="C380" s="16" t="inlineStr">
        <is>
          <t>SINAPI</t>
        </is>
      </c>
      <c r="D380" s="16" t="inlineStr">
        <is>
          <t>PISO PODOTÁTIL, DIRECIONAL OU ALERTA, ASSENTADO SOBRE ARGAMASSA. AF_05/2020</t>
        </is>
      </c>
      <c r="E380" s="17" t="inlineStr">
        <is>
          <t>M</t>
        </is>
      </c>
      <c r="F380" s="18" t="n">
        <v>10.0</v>
      </c>
      <c r="G380" s="19" t="n">
        <v>188.02579822</v>
      </c>
      <c r="H380" s="19" t="str">
        <f>ROUND(G380 * (1 + 32.78 / 100), 9)</f>
      </c>
      <c r="I380" s="19" t="str">
        <f>ROUND(F380 * h380, 9)</f>
      </c>
      <c r="J380" s="20" t="str">
        <f>i380 / 1181066.0424007571906268</f>
      </c>
    </row>
    <row customHeight="1" ht="24" r="381">
      <c r="A381" s="8" t="inlineStr">
        <is>
          <t> 5.5 </t>
        </is>
      </c>
      <c r="B381" s="8"/>
      <c r="C381" s="8"/>
      <c r="D381" s="8" t="inlineStr">
        <is>
          <t>SOLEIRAS, PEITORIS E RODAPÉS</t>
        </is>
      </c>
      <c r="E381" s="8"/>
      <c r="F381" s="10"/>
      <c r="G381" s="8"/>
      <c r="H381" s="8"/>
      <c r="I381" s="11" t="n">
        <v>8571.451734681881</v>
      </c>
      <c r="J381" s="12" t="str">
        <f>i381 / 1181066.0424007571906268</f>
      </c>
    </row>
    <row customHeight="1" ht="26" r="382">
      <c r="A382" s="16" t="inlineStr">
        <is>
          <t> 5.5.1 </t>
        </is>
      </c>
      <c r="B382" s="18" t="inlineStr">
        <is>
          <t> 98689 </t>
        </is>
      </c>
      <c r="C382" s="16" t="inlineStr">
        <is>
          <t>SINAPI</t>
        </is>
      </c>
      <c r="D382" s="16" t="inlineStr">
        <is>
          <t>SOLEIRA EM GRANITO, LARGURA 15 CM, ESPESSURA 2,0 CM. AF_09/2020</t>
        </is>
      </c>
      <c r="E382" s="17" t="inlineStr">
        <is>
          <t>M</t>
        </is>
      </c>
      <c r="F382" s="18" t="n">
        <v>6.3</v>
      </c>
      <c r="G382" s="19" t="n">
        <v>143.670268735</v>
      </c>
      <c r="H382" s="19" t="str">
        <f>ROUND(G382 * (1 + 32.78 / 100), 9)</f>
      </c>
      <c r="I382" s="19" t="str">
        <f>ROUND(F382 * h382, 9)</f>
      </c>
      <c r="J382" s="20" t="str">
        <f>i382 / 1181066.0424007571906268</f>
      </c>
    </row>
    <row customHeight="1" ht="39" r="383">
      <c r="A383" s="16" t="inlineStr">
        <is>
          <t> 5.5.2 </t>
        </is>
      </c>
      <c r="B383" s="18" t="inlineStr">
        <is>
          <t> 84088 </t>
        </is>
      </c>
      <c r="C383" s="16" t="inlineStr">
        <is>
          <t>SINAPI</t>
        </is>
      </c>
      <c r="D383" s="16" t="inlineStr">
        <is>
          <t>PEITORIL EM MARMORE BRANCO, LARGURA DE 15CM, ASSENTADO COM ARGAMASSA TRACO 1:4 (CIMENTO E AREIA MEDIA), PREPARO MANUAL DA ARGAMASSA</t>
        </is>
      </c>
      <c r="E383" s="17" t="inlineStr">
        <is>
          <t>M</t>
        </is>
      </c>
      <c r="F383" s="18" t="n">
        <v>19.25</v>
      </c>
      <c r="G383" s="19" t="n">
        <v>157.379006572</v>
      </c>
      <c r="H383" s="19" t="str">
        <f>ROUND(G383 * (1 + 32.78 / 100), 9)</f>
      </c>
      <c r="I383" s="19" t="str">
        <f>ROUND(F383 * h383, 9)</f>
      </c>
      <c r="J383" s="20" t="str">
        <f>i383 / 1181066.0424007571906268</f>
      </c>
    </row>
    <row customHeight="1" ht="26" r="384">
      <c r="A384" s="16" t="inlineStr">
        <is>
          <t> 5.5.3 </t>
        </is>
      </c>
      <c r="B384" s="18" t="inlineStr">
        <is>
          <t> 88650 </t>
        </is>
      </c>
      <c r="C384" s="16" t="inlineStr">
        <is>
          <t>SINAPI</t>
        </is>
      </c>
      <c r="D384" s="16" t="inlineStr">
        <is>
          <t>RODAPÉ CERÂMICO DE 7CM DE ALTURA COM PLACAS TIPO ESMALTADA EXTRA DE DIMENSÕES 60X60CM. AF_06/2014</t>
        </is>
      </c>
      <c r="E384" s="17" t="inlineStr">
        <is>
          <t>M</t>
        </is>
      </c>
      <c r="F384" s="18" t="n">
        <v>121.65</v>
      </c>
      <c r="G384" s="19" t="n">
        <v>20.721003311</v>
      </c>
      <c r="H384" s="19" t="str">
        <f>ROUND(G384 * (1 + 32.78 / 100), 9)</f>
      </c>
      <c r="I384" s="19" t="str">
        <f>ROUND(F384 * h384, 9)</f>
      </c>
      <c r="J384" s="20" t="str">
        <f>i384 / 1181066.0424007571906268</f>
      </c>
    </row>
    <row customHeight="1" ht="24" r="385">
      <c r="A385" s="8" t="inlineStr">
        <is>
          <t> 5.6 </t>
        </is>
      </c>
      <c r="B385" s="8"/>
      <c r="C385" s="8"/>
      <c r="D385" s="8" t="inlineStr">
        <is>
          <t>REVESTIMENTOS</t>
        </is>
      </c>
      <c r="E385" s="8"/>
      <c r="F385" s="10"/>
      <c r="G385" s="8"/>
      <c r="H385" s="8"/>
      <c r="I385" s="11" t="n">
        <v>25449.91246647214</v>
      </c>
      <c r="J385" s="12" t="str">
        <f>i385 / 1181066.0424007571906268</f>
      </c>
    </row>
    <row customHeight="1" ht="52" r="386">
      <c r="A386" s="16" t="inlineStr">
        <is>
          <t> 5.6.1 </t>
        </is>
      </c>
      <c r="B386" s="18" t="inlineStr">
        <is>
          <t> 87904 </t>
        </is>
      </c>
      <c r="C386" s="16" t="inlineStr">
        <is>
          <t>SINAPI</t>
        </is>
      </c>
      <c r="D386" s="16" t="inlineStr">
        <is>
          <t>CHAPISCO APLICADO EM ALVENARIA (COM PRESENÇA DE VÃOS) E ESTRUTURAS DE CONCRETO DE FACHADA, COM COLHER DE PEDREIRO.  ARGAMASSA TRAÇO 1:3 COM PREPARO MANUAL. AF_06/2014</t>
        </is>
      </c>
      <c r="E386" s="17" t="inlineStr">
        <is>
          <t>m²</t>
        </is>
      </c>
      <c r="F386" s="18" t="n">
        <v>25.52</v>
      </c>
      <c r="G386" s="19" t="n">
        <v>7.494822001</v>
      </c>
      <c r="H386" s="19" t="str">
        <f>ROUND(G386 * (1 + 32.78 / 100), 9)</f>
      </c>
      <c r="I386" s="19" t="str">
        <f>ROUND(F386 * h386, 9)</f>
      </c>
      <c r="J386" s="20" t="str">
        <f>i386 / 1181066.0424007571906268</f>
      </c>
    </row>
    <row customHeight="1" ht="65" r="387">
      <c r="A387" s="16" t="inlineStr">
        <is>
          <t> 5.6.2 </t>
        </is>
      </c>
      <c r="B387" s="18" t="inlineStr">
        <is>
          <t> 87536 </t>
        </is>
      </c>
      <c r="C387" s="16" t="inlineStr">
        <is>
          <t>SINAPI</t>
        </is>
      </c>
      <c r="D387" s="16" t="inlineStr">
        <is>
          <t>EMBOÇO, PARA RECEBIMENTO DE CERÂMICA, EM ARGAMASSA TRAÇO 1:2:8, PREPARO MANUAL, APLICADO MANUALMENTE EM FACES INTERNAS DE PAREDES, PARA AMBIENTE COM ÁREA  MAIOR QUE 10M2, ESPESSURA DE 20MM, COM EXECUÇÃO DE TALISCAS. AF_06/2014</t>
        </is>
      </c>
      <c r="E387" s="17" t="inlineStr">
        <is>
          <t>m²</t>
        </is>
      </c>
      <c r="F387" s="18" t="n">
        <v>141.73</v>
      </c>
      <c r="G387" s="19" t="n">
        <v>36.532420369</v>
      </c>
      <c r="H387" s="19" t="str">
        <f>ROUND(G387 * (1 + 32.78 / 100), 9)</f>
      </c>
      <c r="I387" s="19" t="str">
        <f>ROUND(F387 * h387, 9)</f>
      </c>
      <c r="J387" s="20" t="str">
        <f>i387 / 1181066.0424007571906268</f>
      </c>
    </row>
    <row customHeight="1" ht="65" r="388">
      <c r="A388" s="16" t="inlineStr">
        <is>
          <t> 5.6.3 </t>
        </is>
      </c>
      <c r="B388" s="18" t="inlineStr">
        <is>
          <t> 89048 </t>
        </is>
      </c>
      <c r="C388" s="16" t="inlineStr">
        <is>
          <t>SINAPI</t>
        </is>
      </c>
      <c r="D388" s="16" t="inlineStr">
        <is>
          <t>(COMPOSIÇÃO REPRESENTATIVA) DO SERVIÇO DE EMBOÇO/MASSA ÚNICA, TRAÇO 1:2:8, PREPARO MECÂNICO, COM BETONEIRA DE 400L, EM PAREDES DE AMBIENTES INTERNOS, COM EXECUÇÃO DE TALISCAS, PARA EDIFICAÇÃO HABITACIONAL MULTIFAMILIAR (PRÉDIO). AF_11/2014</t>
        </is>
      </c>
      <c r="E388" s="17" t="inlineStr">
        <is>
          <t>m²</t>
        </is>
      </c>
      <c r="F388" s="18" t="n">
        <v>25.52</v>
      </c>
      <c r="G388" s="19" t="n">
        <v>37.598176409</v>
      </c>
      <c r="H388" s="19" t="str">
        <f>ROUND(G388 * (1 + 32.78 / 100), 9)</f>
      </c>
      <c r="I388" s="19" t="str">
        <f>ROUND(F388 * h388, 9)</f>
      </c>
      <c r="J388" s="20" t="str">
        <f>i388 / 1181066.0424007571906268</f>
      </c>
    </row>
    <row customHeight="1" ht="52" r="389">
      <c r="A389" s="16" t="inlineStr">
        <is>
          <t> 5.6.4 </t>
        </is>
      </c>
      <c r="B389" s="18" t="inlineStr">
        <is>
          <t> 87274 </t>
        </is>
      </c>
      <c r="C389" s="16" t="inlineStr">
        <is>
          <t>SINAPI</t>
        </is>
      </c>
      <c r="D389" s="16" t="inlineStr">
        <is>
          <t>REVESTIMENTO CERÂMICO PARA PAREDES INTERNAS COM PLACAS TIPO ESMALTADA EXTRA DE DIMENSÕES 33X45 CM APLICADAS EM AMBIENTES DE ÁREA MENOR QUE 5 M² A MEIA ALTURA DAS PAREDES. AF_06/2014</t>
        </is>
      </c>
      <c r="E389" s="17" t="inlineStr">
        <is>
          <t>m²</t>
        </is>
      </c>
      <c r="F389" s="18" t="n">
        <v>141.73</v>
      </c>
      <c r="G389" s="19" t="n">
        <v>90.583955742</v>
      </c>
      <c r="H389" s="19" t="str">
        <f>ROUND(G389 * (1 + 32.78 / 100), 9)</f>
      </c>
      <c r="I389" s="19" t="str">
        <f>ROUND(F389 * h389, 9)</f>
      </c>
      <c r="J389" s="20" t="str">
        <f>i389 / 1181066.0424007571906268</f>
      </c>
    </row>
    <row customHeight="1" ht="24" r="390">
      <c r="A390" s="8" t="inlineStr">
        <is>
          <t> 5.7 </t>
        </is>
      </c>
      <c r="B390" s="8"/>
      <c r="C390" s="8"/>
      <c r="D390" s="8" t="inlineStr">
        <is>
          <t>ESQUADRIAS</t>
        </is>
      </c>
      <c r="E390" s="8"/>
      <c r="F390" s="10"/>
      <c r="G390" s="8"/>
      <c r="H390" s="8"/>
      <c r="I390" s="11" t="n">
        <v>35379.89678965556</v>
      </c>
      <c r="J390" s="12" t="str">
        <f>i390 / 1181066.0424007571906268</f>
      </c>
    </row>
    <row customHeight="1" ht="26" r="391">
      <c r="A391" s="16" t="inlineStr">
        <is>
          <t> 5.7.1 </t>
        </is>
      </c>
      <c r="B391" s="18" t="inlineStr">
        <is>
          <t> 102179 </t>
        </is>
      </c>
      <c r="C391" s="16" t="inlineStr">
        <is>
          <t>SINAPI</t>
        </is>
      </c>
      <c r="D391" s="16" t="inlineStr">
        <is>
          <t>INSTALAÇÃO DE VIDRO TEMPERADO, E = 6 MM, ENCAIXADO EM PERFIL U. AF_01/2021_P</t>
        </is>
      </c>
      <c r="E391" s="17" t="inlineStr">
        <is>
          <t>m²</t>
        </is>
      </c>
      <c r="F391" s="18" t="n">
        <v>12.49</v>
      </c>
      <c r="G391" s="19" t="n">
        <v>435.464260913</v>
      </c>
      <c r="H391" s="19" t="str">
        <f>ROUND(G391 * (1 + 32.78 / 100), 9)</f>
      </c>
      <c r="I391" s="19" t="str">
        <f>ROUND(F391 * h391, 9)</f>
      </c>
      <c r="J391" s="20" t="str">
        <f>i391 / 1181066.0424007571906268</f>
      </c>
    </row>
    <row customHeight="1" ht="39" r="392">
      <c r="A392" s="16" t="inlineStr">
        <is>
          <t> 5.7.2 </t>
        </is>
      </c>
      <c r="B392" s="18" t="inlineStr">
        <is>
          <t> 91341 </t>
        </is>
      </c>
      <c r="C392" s="16" t="inlineStr">
        <is>
          <t>SINAPI</t>
        </is>
      </c>
      <c r="D392" s="16" t="inlineStr">
        <is>
          <t>PORTA EM ALUMÍNIO DE ABRIR TIPO VENEZIANA COM GUARNIÇÃO, FIXAÇÃO COM PARAFUSOS - FORNECIMENTO E INSTALAÇÃO. AF_12/2019</t>
        </is>
      </c>
      <c r="E392" s="17" t="inlineStr">
        <is>
          <t>m²</t>
        </is>
      </c>
      <c r="F392" s="18" t="n">
        <v>1.89</v>
      </c>
      <c r="G392" s="19" t="n">
        <v>661.256584131</v>
      </c>
      <c r="H392" s="19" t="str">
        <f>ROUND(G392 * (1 + 32.78 / 100), 9)</f>
      </c>
      <c r="I392" s="19" t="str">
        <f>ROUND(F392 * h392, 9)</f>
      </c>
      <c r="J392" s="20" t="str">
        <f>i392 / 1181066.0424007571906268</f>
      </c>
    </row>
    <row customHeight="1" ht="39" r="393">
      <c r="A393" s="16" t="inlineStr">
        <is>
          <t> 5.7.3 </t>
        </is>
      </c>
      <c r="B393" s="18" t="inlineStr">
        <is>
          <t> 100702 </t>
        </is>
      </c>
      <c r="C393" s="16" t="inlineStr">
        <is>
          <t>SINAPI</t>
        </is>
      </c>
      <c r="D393" s="16" t="inlineStr">
        <is>
          <t>PORTA DE CORRER DE ALUMÍNIO, COM DUAS FOLHAS PARA VIDRO, INCLUSO VIDRO LISO INCOLOR, FECHADURA E PUXADOR, SEM ALIZAR. AF_12/2019</t>
        </is>
      </c>
      <c r="E393" s="17" t="inlineStr">
        <is>
          <t>m²</t>
        </is>
      </c>
      <c r="F393" s="18" t="n">
        <v>5.88</v>
      </c>
      <c r="G393" s="19" t="n">
        <v>456.717108408</v>
      </c>
      <c r="H393" s="19" t="str">
        <f>ROUND(G393 * (1 + 32.78 / 100), 9)</f>
      </c>
      <c r="I393" s="19" t="str">
        <f>ROUND(F393 * h393, 9)</f>
      </c>
      <c r="J393" s="20" t="str">
        <f>i393 / 1181066.0424007571906268</f>
      </c>
    </row>
    <row customHeight="1" ht="26" r="394">
      <c r="A394" s="16" t="inlineStr">
        <is>
          <t> 5.7.4 </t>
        </is>
      </c>
      <c r="B394" s="18" t="inlineStr">
        <is>
          <t> 99861 </t>
        </is>
      </c>
      <c r="C394" s="16" t="inlineStr">
        <is>
          <t>SINAPI</t>
        </is>
      </c>
      <c r="D394" s="16" t="inlineStr">
        <is>
          <t>GRADIL EM FERRO FIXADO EM VÃOS DE JANELAS, FORMADO POR BARRAS CHATAS DE 25X4,8 MM. AF_04/2019</t>
        </is>
      </c>
      <c r="E394" s="17" t="inlineStr">
        <is>
          <t>m²</t>
        </is>
      </c>
      <c r="F394" s="18" t="n">
        <v>19.87</v>
      </c>
      <c r="G394" s="19" t="n">
        <v>536.423415618</v>
      </c>
      <c r="H394" s="19" t="str">
        <f>ROUND(G394 * (1 + 32.78 / 100), 9)</f>
      </c>
      <c r="I394" s="19" t="str">
        <f>ROUND(F394 * h394, 9)</f>
      </c>
      <c r="J394" s="20" t="str">
        <f>i394 / 1181066.0424007571906268</f>
      </c>
    </row>
    <row customHeight="1" ht="65" r="395">
      <c r="A395" s="16" t="inlineStr">
        <is>
          <t> 5.7.5 </t>
        </is>
      </c>
      <c r="B395" s="18" t="inlineStr">
        <is>
          <t> 90842 </t>
        </is>
      </c>
      <c r="C395" s="16" t="inlineStr">
        <is>
          <t>SINAPI</t>
        </is>
      </c>
      <c r="D395" s="16" t="inlineStr">
        <is>
          <t>KIT DE PORTA DE MADEIRA PARA PINTURA, SEMI-OCA (LEVE OU MÉDIA), PADRÃO MÉDIO, 70X210CM, ESPESSURA DE 3,5CM, ITENS INCLUSOS: DOBRADIÇAS, MONTAGEM E INSTALAÇÃO DO BATENTE, FECHADURA COM EXECUÇÃO DO FURO - FORNECIMENTO E INSTALAÇÃO. AF_12/2019</t>
        </is>
      </c>
      <c r="E395" s="17" t="inlineStr">
        <is>
          <t>UN</t>
        </is>
      </c>
      <c r="F395" s="18" t="n">
        <v>5.0</v>
      </c>
      <c r="G395" s="19" t="n">
        <v>892.582904454</v>
      </c>
      <c r="H395" s="19" t="str">
        <f>ROUND(G395 * (1 + 32.78 / 100), 9)</f>
      </c>
      <c r="I395" s="19" t="str">
        <f>ROUND(F395 * h395, 9)</f>
      </c>
      <c r="J395" s="20" t="str">
        <f>i395 / 1181066.0424007571906268</f>
      </c>
    </row>
    <row customHeight="1" ht="65" r="396">
      <c r="A396" s="16" t="inlineStr">
        <is>
          <t> 5.7.6 </t>
        </is>
      </c>
      <c r="B396" s="18" t="inlineStr">
        <is>
          <t> 90843 </t>
        </is>
      </c>
      <c r="C396" s="16" t="inlineStr">
        <is>
          <t>SINAPI</t>
        </is>
      </c>
      <c r="D396" s="16" t="inlineStr">
        <is>
          <t>KIT DE PORTA DE MADEIRA PARA PINTURA, SEMI-OCA (LEVE OU MÉDIA), PADRÃO MÉDIO, 80X210CM, ESPESSURA DE 3,5CM, ITENS INCLUSOS: DOBRADIÇAS, MONTAGEM E INSTALAÇÃO DO BATENTE, FECHADURA COM EXECUÇÃO DO FURO - FORNECIMENTO E INSTALAÇÃO. AF_12/2019</t>
        </is>
      </c>
      <c r="E396" s="17" t="inlineStr">
        <is>
          <t>UN</t>
        </is>
      </c>
      <c r="F396" s="18" t="n">
        <v>2.0</v>
      </c>
      <c r="G396" s="19" t="n">
        <v>941.184439012</v>
      </c>
      <c r="H396" s="19" t="str">
        <f>ROUND(G396 * (1 + 32.78 / 100), 9)</f>
      </c>
      <c r="I396" s="19" t="str">
        <f>ROUND(F396 * h396, 9)</f>
      </c>
      <c r="J396" s="20" t="str">
        <f>i396 / 1181066.0424007571906268</f>
      </c>
    </row>
    <row customHeight="1" ht="26" r="397">
      <c r="A397" s="16" t="inlineStr">
        <is>
          <t> 5.7.7 </t>
        </is>
      </c>
      <c r="B397" s="18" t="inlineStr">
        <is>
          <t> 100704 </t>
        </is>
      </c>
      <c r="C397" s="16" t="inlineStr">
        <is>
          <t>SINAPI</t>
        </is>
      </c>
      <c r="D397" s="16" t="inlineStr">
        <is>
          <t>PORTA CADEADO ZINCADO OXIDADO PRETO COM CADEADO DE AÇO INOX, LARGURA DE *50* MM. AF_12/2019 (EF05)</t>
        </is>
      </c>
      <c r="E397" s="17" t="inlineStr">
        <is>
          <t>UN</t>
        </is>
      </c>
      <c r="F397" s="18" t="n">
        <v>4.0</v>
      </c>
      <c r="G397" s="19" t="n">
        <v>66.816148569</v>
      </c>
      <c r="H397" s="19" t="str">
        <f>ROUND(G397 * (1 + 32.78 / 100), 9)</f>
      </c>
      <c r="I397" s="19" t="str">
        <f>ROUND(F397 * h397, 9)</f>
      </c>
      <c r="J397" s="20" t="str">
        <f>i397 / 1181066.0424007571906268</f>
      </c>
    </row>
    <row customHeight="1" ht="24" r="398">
      <c r="A398" s="8" t="inlineStr">
        <is>
          <t> 5.8 </t>
        </is>
      </c>
      <c r="B398" s="8"/>
      <c r="C398" s="8"/>
      <c r="D398" s="8" t="inlineStr">
        <is>
          <t>COBERTURA (Estrutura e telhas)</t>
        </is>
      </c>
      <c r="E398" s="8"/>
      <c r="F398" s="10"/>
      <c r="G398" s="8"/>
      <c r="H398" s="8"/>
      <c r="I398" s="11" t="n">
        <v>15642.564675516795</v>
      </c>
      <c r="J398" s="12" t="str">
        <f>i398 / 1181066.0424007571906268</f>
      </c>
    </row>
    <row customHeight="1" ht="52" r="399">
      <c r="A399" s="16" t="inlineStr">
        <is>
          <t> 5.8.1 </t>
        </is>
      </c>
      <c r="B399" s="18" t="inlineStr">
        <is>
          <t> 92541 </t>
        </is>
      </c>
      <c r="C399" s="16" t="inlineStr">
        <is>
          <t>SINAPI</t>
        </is>
      </c>
      <c r="D399" s="16" t="inlineStr">
        <is>
          <t>TRAMA DE MADEIRA COMPOSTA POR RIPAS, CAIBROS E TERÇAS PARA TELHADOS DE ATÉ 2 ÁGUAS PARA TELHA CERÂMICA CAPA-CANAL, INCLUSO TRANSPORTE VERTICAL. AF_07/2019</t>
        </is>
      </c>
      <c r="E399" s="17" t="inlineStr">
        <is>
          <t>m²</t>
        </is>
      </c>
      <c r="F399" s="18" t="n">
        <v>39.6</v>
      </c>
      <c r="G399" s="19" t="n">
        <v>52.288113131</v>
      </c>
      <c r="H399" s="19" t="str">
        <f>ROUND(G399 * (1 + 32.78 / 100), 9)</f>
      </c>
      <c r="I399" s="19" t="str">
        <f>ROUND(F399 * h399, 9)</f>
      </c>
      <c r="J399" s="20" t="str">
        <f>i399 / 1181066.0424007571906268</f>
      </c>
    </row>
    <row customHeight="1" ht="39" r="400">
      <c r="A400" s="16" t="inlineStr">
        <is>
          <t> 5.8.2 </t>
        </is>
      </c>
      <c r="B400" s="18" t="inlineStr">
        <is>
          <t> 94445 </t>
        </is>
      </c>
      <c r="C400" s="16" t="inlineStr">
        <is>
          <t>SINAPI</t>
        </is>
      </c>
      <c r="D400" s="16" t="inlineStr">
        <is>
          <t>TELHAMENTO COM TELHA CERÂMICA CAPA-CANAL, TIPO PLAN, COM ATÉ 2 ÁGUAS, INCLUSO TRANSPORTE VERTICAL. AF_07/2019</t>
        </is>
      </c>
      <c r="E400" s="17" t="inlineStr">
        <is>
          <t>m²</t>
        </is>
      </c>
      <c r="F400" s="18" t="n">
        <v>39.6</v>
      </c>
      <c r="G400" s="19" t="n">
        <v>59.115345155</v>
      </c>
      <c r="H400" s="19" t="str">
        <f>ROUND(G400 * (1 + 32.78 / 100), 9)</f>
      </c>
      <c r="I400" s="19" t="str">
        <f>ROUND(F400 * h400, 9)</f>
      </c>
      <c r="J400" s="20" t="str">
        <f>i400 / 1181066.0424007571906268</f>
      </c>
    </row>
    <row customHeight="1" ht="26" r="401">
      <c r="A401" s="16" t="inlineStr">
        <is>
          <t> 5.8.3 </t>
        </is>
      </c>
      <c r="B401" s="18" t="inlineStr">
        <is>
          <t> 00000181 </t>
        </is>
      </c>
      <c r="C401" s="16" t="inlineStr">
        <is>
          <t>Próprio</t>
        </is>
      </c>
      <c r="D401" s="16" t="inlineStr">
        <is>
          <t>REVISÃO DE COBERTURA (INCLUINDO A TROCA DE TELHAS E ESTRUTURA EM ATÉ 15%)</t>
        </is>
      </c>
      <c r="E401" s="17" t="inlineStr">
        <is>
          <t>m²</t>
        </is>
      </c>
      <c r="F401" s="18" t="n">
        <v>170.86</v>
      </c>
      <c r="G401" s="19" t="n">
        <v>36.538094106</v>
      </c>
      <c r="H401" s="19" t="str">
        <f>ROUND(G401 * (1 + 32.78 / 100), 9)</f>
      </c>
      <c r="I401" s="19" t="str">
        <f>ROUND(F401 * h401, 9)</f>
      </c>
      <c r="J401" s="20" t="str">
        <f>i401 / 1181066.0424007571906268</f>
      </c>
    </row>
    <row customHeight="1" ht="24" r="402">
      <c r="A402" s="16" t="inlineStr">
        <is>
          <t> 5.8.4 </t>
        </is>
      </c>
      <c r="B402" s="18" t="inlineStr">
        <is>
          <t> 278 </t>
        </is>
      </c>
      <c r="C402" s="16" t="inlineStr">
        <is>
          <t>ORSE</t>
        </is>
      </c>
      <c r="D402" s="16" t="inlineStr">
        <is>
          <t>LIMPEZA (LAVAGEM) DE TELHAS</t>
        </is>
      </c>
      <c r="E402" s="17" t="inlineStr">
        <is>
          <t>m²</t>
        </is>
      </c>
      <c r="F402" s="18" t="n">
        <v>170.86</v>
      </c>
      <c r="G402" s="19" t="n">
        <v>3.4924068</v>
      </c>
      <c r="H402" s="19" t="str">
        <f>ROUND(G402 * (1 + 32.78 / 100), 9)</f>
      </c>
      <c r="I402" s="19" t="str">
        <f>ROUND(F402 * h402, 9)</f>
      </c>
      <c r="J402" s="20" t="str">
        <f>i402 / 1181066.0424007571906268</f>
      </c>
    </row>
    <row customHeight="1" ht="24" r="403">
      <c r="A403" s="16" t="inlineStr">
        <is>
          <t> 5.8.5 </t>
        </is>
      </c>
      <c r="B403" s="18" t="inlineStr">
        <is>
          <t> 304 </t>
        </is>
      </c>
      <c r="C403" s="16" t="inlineStr">
        <is>
          <t>ORSE</t>
        </is>
      </c>
      <c r="D403" s="16" t="inlineStr">
        <is>
          <t>RUFO DE CONCRETO ARMADO FCK=20MPA L=30CM E H=5CM</t>
        </is>
      </c>
      <c r="E403" s="17" t="inlineStr">
        <is>
          <t>m</t>
        </is>
      </c>
      <c r="F403" s="18" t="n">
        <v>14.0</v>
      </c>
      <c r="G403" s="19" t="n">
        <v>37.83039652</v>
      </c>
      <c r="H403" s="19" t="str">
        <f>ROUND(G403 * (1 + 32.78 / 100), 9)</f>
      </c>
      <c r="I403" s="19" t="str">
        <f>ROUND(F403 * h403, 9)</f>
      </c>
      <c r="J403" s="20" t="str">
        <f>i403 / 1181066.0424007571906268</f>
      </c>
    </row>
    <row customHeight="1" ht="24" r="404">
      <c r="A404" s="8" t="inlineStr">
        <is>
          <t> 5.9 </t>
        </is>
      </c>
      <c r="B404" s="8"/>
      <c r="C404" s="8"/>
      <c r="D404" s="8" t="inlineStr">
        <is>
          <t>INSTALAÇÕES</t>
        </is>
      </c>
      <c r="E404" s="8"/>
      <c r="F404" s="10"/>
      <c r="G404" s="8"/>
      <c r="H404" s="8"/>
      <c r="I404" s="11" t="n">
        <v>58871.01604658706</v>
      </c>
      <c r="J404" s="12" t="str">
        <f>i404 / 1181066.0424007571906268</f>
      </c>
    </row>
    <row customHeight="1" ht="24" r="405">
      <c r="A405" s="8" t="inlineStr">
        <is>
          <t> 5.9.1 </t>
        </is>
      </c>
      <c r="B405" s="8"/>
      <c r="C405" s="8"/>
      <c r="D405" s="8" t="inlineStr">
        <is>
          <t>Elétrica</t>
        </is>
      </c>
      <c r="E405" s="8"/>
      <c r="F405" s="10"/>
      <c r="G405" s="8"/>
      <c r="H405" s="8"/>
      <c r="I405" s="11" t="n">
        <v>31407.95810131669</v>
      </c>
      <c r="J405" s="12" t="str">
        <f>i405 / 1181066.0424007571906268</f>
      </c>
    </row>
    <row customHeight="1" ht="24" r="406">
      <c r="A406" s="16" t="inlineStr">
        <is>
          <t> 5.9.1.1 </t>
        </is>
      </c>
      <c r="B406" s="18" t="inlineStr">
        <is>
          <t> 059670 </t>
        </is>
      </c>
      <c r="C406" s="16" t="inlineStr">
        <is>
          <t>SBC</t>
        </is>
      </c>
      <c r="D406" s="16" t="inlineStr">
        <is>
          <t>BUCHA E ARRUELA 3/4""</t>
        </is>
      </c>
      <c r="E406" s="17" t="inlineStr">
        <is>
          <t>CJ</t>
        </is>
      </c>
      <c r="F406" s="18" t="n">
        <v>140.0</v>
      </c>
      <c r="G406" s="19" t="n">
        <v>7.11878</v>
      </c>
      <c r="H406" s="19" t="str">
        <f>ROUND(G406 * (1 + 32.78 / 100), 9)</f>
      </c>
      <c r="I406" s="19" t="str">
        <f>ROUND(F406 * h406, 9)</f>
      </c>
      <c r="J406" s="20" t="str">
        <f>i406 / 1181066.0424007571906268</f>
      </c>
    </row>
    <row customHeight="1" ht="24" r="407">
      <c r="A407" s="16" t="inlineStr">
        <is>
          <t> 5.9.1.2 </t>
        </is>
      </c>
      <c r="B407" s="18" t="inlineStr">
        <is>
          <t> 059080 </t>
        </is>
      </c>
      <c r="C407" s="16" t="inlineStr">
        <is>
          <t>SBC</t>
        </is>
      </c>
      <c r="D407" s="16" t="inlineStr">
        <is>
          <t>BUCHA E ARRUELA 1""</t>
        </is>
      </c>
      <c r="E407" s="17" t="inlineStr">
        <is>
          <t>CJ</t>
        </is>
      </c>
      <c r="F407" s="18" t="n">
        <v>20.0</v>
      </c>
      <c r="G407" s="19" t="n">
        <v>9.0904</v>
      </c>
      <c r="H407" s="19" t="str">
        <f>ROUND(G407 * (1 + 32.78 / 100), 9)</f>
      </c>
      <c r="I407" s="19" t="str">
        <f>ROUND(F407 * h407, 9)</f>
      </c>
      <c r="J407" s="20" t="str">
        <f>i407 / 1181066.0424007571906268</f>
      </c>
    </row>
    <row customHeight="1" ht="39" r="408">
      <c r="A408" s="16" t="inlineStr">
        <is>
          <t> 5.9.1.3 </t>
        </is>
      </c>
      <c r="B408" s="18" t="inlineStr">
        <is>
          <t> 91926 </t>
        </is>
      </c>
      <c r="C408" s="16" t="inlineStr">
        <is>
          <t>SINAPI</t>
        </is>
      </c>
      <c r="D408" s="16" t="inlineStr">
        <is>
          <t>CABO DE COBRE FLEXÍVEL ISOLADO, 2,5 MM², ANTI-CHAMA 450/750 V, PARA CIRCUITOS TERMINAIS - FORNECIMENTO E INSTALAÇÃO. AF_12/2015</t>
        </is>
      </c>
      <c r="E408" s="17" t="inlineStr">
        <is>
          <t>M</t>
        </is>
      </c>
      <c r="F408" s="18" t="n">
        <v>400.0</v>
      </c>
      <c r="G408" s="19" t="n">
        <v>4.28819155</v>
      </c>
      <c r="H408" s="19" t="str">
        <f>ROUND(G408 * (1 + 32.78 / 100), 9)</f>
      </c>
      <c r="I408" s="19" t="str">
        <f>ROUND(F408 * h408, 9)</f>
      </c>
      <c r="J408" s="20" t="str">
        <f>i408 / 1181066.0424007571906268</f>
      </c>
    </row>
    <row customHeight="1" ht="39" r="409">
      <c r="A409" s="16" t="inlineStr">
        <is>
          <t> 5.9.1.4 </t>
        </is>
      </c>
      <c r="B409" s="18" t="inlineStr">
        <is>
          <t> 91926 </t>
        </is>
      </c>
      <c r="C409" s="16" t="inlineStr">
        <is>
          <t>SINAPI</t>
        </is>
      </c>
      <c r="D409" s="16" t="inlineStr">
        <is>
          <t>CABO DE COBRE FLEXÍVEL ISOLADO, 2,5 MM², ANTI-CHAMA 450/750 V, PARA CIRCUITOS TERMINAIS - FORNECIMENTO E INSTALAÇÃO. AF_12/2015</t>
        </is>
      </c>
      <c r="E409" s="17" t="inlineStr">
        <is>
          <t>M</t>
        </is>
      </c>
      <c r="F409" s="18" t="n">
        <v>400.0</v>
      </c>
      <c r="G409" s="19" t="n">
        <v>4.28819155</v>
      </c>
      <c r="H409" s="19" t="str">
        <f>ROUND(G409 * (1 + 32.78 / 100), 9)</f>
      </c>
      <c r="I409" s="19" t="str">
        <f>ROUND(F409 * h409, 9)</f>
      </c>
      <c r="J409" s="20" t="str">
        <f>i409 / 1181066.0424007571906268</f>
      </c>
    </row>
    <row customHeight="1" ht="39" r="410">
      <c r="A410" s="16" t="inlineStr">
        <is>
          <t> 5.9.1.5 </t>
        </is>
      </c>
      <c r="B410" s="18" t="inlineStr">
        <is>
          <t> 91926 </t>
        </is>
      </c>
      <c r="C410" s="16" t="inlineStr">
        <is>
          <t>SINAPI</t>
        </is>
      </c>
      <c r="D410" s="16" t="inlineStr">
        <is>
          <t>CABO DE COBRE FLEXÍVEL ISOLADO, 2,5 MM², ANTI-CHAMA 450/750 V, PARA CIRCUITOS TERMINAIS - FORNECIMENTO E INSTALAÇÃO. AF_12/2015</t>
        </is>
      </c>
      <c r="E410" s="17" t="inlineStr">
        <is>
          <t>M</t>
        </is>
      </c>
      <c r="F410" s="18" t="n">
        <v>300.0</v>
      </c>
      <c r="G410" s="19" t="n">
        <v>4.28819155</v>
      </c>
      <c r="H410" s="19" t="str">
        <f>ROUND(G410 * (1 + 32.78 / 100), 9)</f>
      </c>
      <c r="I410" s="19" t="str">
        <f>ROUND(F410 * h410, 9)</f>
      </c>
      <c r="J410" s="20" t="str">
        <f>i410 / 1181066.0424007571906268</f>
      </c>
    </row>
    <row customHeight="1" ht="39" r="411">
      <c r="A411" s="16" t="inlineStr">
        <is>
          <t> 5.9.1.6 </t>
        </is>
      </c>
      <c r="B411" s="18" t="inlineStr">
        <is>
          <t> 91926 </t>
        </is>
      </c>
      <c r="C411" s="16" t="inlineStr">
        <is>
          <t>SINAPI</t>
        </is>
      </c>
      <c r="D411" s="16" t="inlineStr">
        <is>
          <t>CABO DE COBRE FLEXÍVEL ISOLADO, 2,5 MM², ANTI-CHAMA 450/750 V, PARA CIRCUITOS TERMINAIS - FORNECIMENTO E INSTALAÇÃO. AF_12/2015</t>
        </is>
      </c>
      <c r="E411" s="17" t="inlineStr">
        <is>
          <t>M</t>
        </is>
      </c>
      <c r="F411" s="18" t="n">
        <v>200.0</v>
      </c>
      <c r="G411" s="19" t="n">
        <v>4.28819155</v>
      </c>
      <c r="H411" s="19" t="str">
        <f>ROUND(G411 * (1 + 32.78 / 100), 9)</f>
      </c>
      <c r="I411" s="19" t="str">
        <f>ROUND(F411 * h411, 9)</f>
      </c>
      <c r="J411" s="20" t="str">
        <f>i411 / 1181066.0424007571906268</f>
      </c>
    </row>
    <row customHeight="1" ht="39" r="412">
      <c r="A412" s="16" t="inlineStr">
        <is>
          <t> 5.9.1.7 </t>
        </is>
      </c>
      <c r="B412" s="18" t="inlineStr">
        <is>
          <t> 91928 </t>
        </is>
      </c>
      <c r="C412" s="16" t="inlineStr">
        <is>
          <t>SINAPI</t>
        </is>
      </c>
      <c r="D412" s="16" t="inlineStr">
        <is>
          <t>CABO DE COBRE FLEXÍVEL ISOLADO, 4 MM², ANTI-CHAMA 450/750 V, PARA CIRCUITOS TERMINAIS - FORNECIMENTO E INSTALAÇÃO. AF_12/2015</t>
        </is>
      </c>
      <c r="E412" s="17" t="inlineStr">
        <is>
          <t>M</t>
        </is>
      </c>
      <c r="F412" s="18" t="n">
        <v>100.0</v>
      </c>
      <c r="G412" s="19" t="n">
        <v>6.672715119</v>
      </c>
      <c r="H412" s="19" t="str">
        <f>ROUND(G412 * (1 + 32.78 / 100), 9)</f>
      </c>
      <c r="I412" s="19" t="str">
        <f>ROUND(F412 * h412, 9)</f>
      </c>
      <c r="J412" s="20" t="str">
        <f>i412 / 1181066.0424007571906268</f>
      </c>
    </row>
    <row customHeight="1" ht="39" r="413">
      <c r="A413" s="16" t="inlineStr">
        <is>
          <t> 5.9.1.8 </t>
        </is>
      </c>
      <c r="B413" s="18" t="inlineStr">
        <is>
          <t> 91928 </t>
        </is>
      </c>
      <c r="C413" s="16" t="inlineStr">
        <is>
          <t>SINAPI</t>
        </is>
      </c>
      <c r="D413" s="16" t="inlineStr">
        <is>
          <t>CABO DE COBRE FLEXÍVEL ISOLADO, 4 MM², ANTI-CHAMA 450/750 V, PARA CIRCUITOS TERMINAIS - FORNECIMENTO E INSTALAÇÃO. AF_12/2015</t>
        </is>
      </c>
      <c r="E413" s="17" t="inlineStr">
        <is>
          <t>M</t>
        </is>
      </c>
      <c r="F413" s="18" t="n">
        <v>50.0</v>
      </c>
      <c r="G413" s="19" t="n">
        <v>6.672715119</v>
      </c>
      <c r="H413" s="19" t="str">
        <f>ROUND(G413 * (1 + 32.78 / 100), 9)</f>
      </c>
      <c r="I413" s="19" t="str">
        <f>ROUND(F413 * h413, 9)</f>
      </c>
      <c r="J413" s="20" t="str">
        <f>i413 / 1181066.0424007571906268</f>
      </c>
    </row>
    <row customHeight="1" ht="39" r="414">
      <c r="A414" s="16" t="inlineStr">
        <is>
          <t> 5.9.1.9 </t>
        </is>
      </c>
      <c r="B414" s="18" t="inlineStr">
        <is>
          <t> 91930 </t>
        </is>
      </c>
      <c r="C414" s="16" t="inlineStr">
        <is>
          <t>SINAPI</t>
        </is>
      </c>
      <c r="D414" s="16" t="inlineStr">
        <is>
          <t>CABO DE COBRE FLEXÍVEL ISOLADO, 6 MM², ANTI-CHAMA 450/750 V, PARA CIRCUITOS TERMINAIS - FORNECIMENTO E INSTALAÇÃO. AF_12/2015</t>
        </is>
      </c>
      <c r="E414" s="17" t="inlineStr">
        <is>
          <t>M</t>
        </is>
      </c>
      <c r="F414" s="18" t="n">
        <v>50.0</v>
      </c>
      <c r="G414" s="19" t="n">
        <v>9.340173002</v>
      </c>
      <c r="H414" s="19" t="str">
        <f>ROUND(G414 * (1 + 32.78 / 100), 9)</f>
      </c>
      <c r="I414" s="19" t="str">
        <f>ROUND(F414 * h414, 9)</f>
      </c>
      <c r="J414" s="20" t="str">
        <f>i414 / 1181066.0424007571906268</f>
      </c>
    </row>
    <row customHeight="1" ht="39" r="415">
      <c r="A415" s="16" t="inlineStr">
        <is>
          <t> 5.9.1.10 </t>
        </is>
      </c>
      <c r="B415" s="18" t="inlineStr">
        <is>
          <t> 91930 </t>
        </is>
      </c>
      <c r="C415" s="16" t="inlineStr">
        <is>
          <t>SINAPI</t>
        </is>
      </c>
      <c r="D415" s="16" t="inlineStr">
        <is>
          <t>CABO DE COBRE FLEXÍVEL ISOLADO, 6 MM², ANTI-CHAMA 450/750 V, PARA CIRCUITOS TERMINAIS - FORNECIMENTO E INSTALAÇÃO. AF_12/2015</t>
        </is>
      </c>
      <c r="E415" s="17" t="inlineStr">
        <is>
          <t>M</t>
        </is>
      </c>
      <c r="F415" s="18" t="n">
        <v>25.0</v>
      </c>
      <c r="G415" s="19" t="n">
        <v>9.340173002</v>
      </c>
      <c r="H415" s="19" t="str">
        <f>ROUND(G415 * (1 + 32.78 / 100), 9)</f>
      </c>
      <c r="I415" s="19" t="str">
        <f>ROUND(F415 * h415, 9)</f>
      </c>
      <c r="J415" s="20" t="str">
        <f>i415 / 1181066.0424007571906268</f>
      </c>
    </row>
    <row customHeight="1" ht="39" r="416">
      <c r="A416" s="16" t="inlineStr">
        <is>
          <t> 5.9.1.11 </t>
        </is>
      </c>
      <c r="B416" s="18" t="inlineStr">
        <is>
          <t> 91934 </t>
        </is>
      </c>
      <c r="C416" s="16" t="inlineStr">
        <is>
          <t>SINAPI</t>
        </is>
      </c>
      <c r="D416" s="16" t="inlineStr">
        <is>
          <t>CABO DE COBRE FLEXÍVEL ISOLADO, 16 MM², ANTI-CHAMA 450/750 V, PARA CIRCUITOS TERMINAIS - FORNECIMENTO E INSTALAÇÃO. AF_12/2015</t>
        </is>
      </c>
      <c r="E416" s="17" t="inlineStr">
        <is>
          <t>M</t>
        </is>
      </c>
      <c r="F416" s="18" t="n">
        <v>15.0</v>
      </c>
      <c r="G416" s="19" t="n">
        <v>24.258225887</v>
      </c>
      <c r="H416" s="19" t="str">
        <f>ROUND(G416 * (1 + 32.78 / 100), 9)</f>
      </c>
      <c r="I416" s="19" t="str">
        <f>ROUND(F416 * h416, 9)</f>
      </c>
      <c r="J416" s="20" t="str">
        <f>i416 / 1181066.0424007571906268</f>
      </c>
    </row>
    <row customHeight="1" ht="39" r="417">
      <c r="A417" s="16" t="inlineStr">
        <is>
          <t> 5.9.1.12 </t>
        </is>
      </c>
      <c r="B417" s="18" t="inlineStr">
        <is>
          <t> 91934 </t>
        </is>
      </c>
      <c r="C417" s="16" t="inlineStr">
        <is>
          <t>SINAPI</t>
        </is>
      </c>
      <c r="D417" s="16" t="inlineStr">
        <is>
          <t>CABO DE COBRE FLEXÍVEL ISOLADO, 16 MM², ANTI-CHAMA 450/750 V, PARA CIRCUITOS TERMINAIS - FORNECIMENTO E INSTALAÇÃO. AF_12/2015</t>
        </is>
      </c>
      <c r="E417" s="17" t="inlineStr">
        <is>
          <t>M</t>
        </is>
      </c>
      <c r="F417" s="18" t="n">
        <v>55.0</v>
      </c>
      <c r="G417" s="19" t="n">
        <v>24.258225887</v>
      </c>
      <c r="H417" s="19" t="str">
        <f>ROUND(G417 * (1 + 32.78 / 100), 9)</f>
      </c>
      <c r="I417" s="19" t="str">
        <f>ROUND(F417 * h417, 9)</f>
      </c>
      <c r="J417" s="20" t="str">
        <f>i417 / 1181066.0424007571906268</f>
      </c>
    </row>
    <row customHeight="1" ht="39" r="418">
      <c r="A418" s="16" t="inlineStr">
        <is>
          <t> 5.9.1.13 </t>
        </is>
      </c>
      <c r="B418" s="18" t="inlineStr">
        <is>
          <t> 91934 </t>
        </is>
      </c>
      <c r="C418" s="16" t="inlineStr">
        <is>
          <t>SINAPI</t>
        </is>
      </c>
      <c r="D418" s="16" t="inlineStr">
        <is>
          <t>CABO DE COBRE FLEXÍVEL ISOLADO, 16 MM², ANTI-CHAMA 450/750 V, PARA CIRCUITOS TERMINAIS - FORNECIMENTO E INSTALAÇÃO. AF_12/2015</t>
        </is>
      </c>
      <c r="E418" s="17" t="inlineStr">
        <is>
          <t>M</t>
        </is>
      </c>
      <c r="F418" s="18" t="n">
        <v>20.0</v>
      </c>
      <c r="G418" s="19" t="n">
        <v>24.258225887</v>
      </c>
      <c r="H418" s="19" t="str">
        <f>ROUND(G418 * (1 + 32.78 / 100), 9)</f>
      </c>
      <c r="I418" s="19" t="str">
        <f>ROUND(F418 * h418, 9)</f>
      </c>
      <c r="J418" s="20" t="str">
        <f>i418 / 1181066.0424007571906268</f>
      </c>
    </row>
    <row customHeight="1" ht="39" r="419">
      <c r="A419" s="16" t="inlineStr">
        <is>
          <t> 5.9.1.14 </t>
        </is>
      </c>
      <c r="B419" s="18" t="inlineStr">
        <is>
          <t> 91854 </t>
        </is>
      </c>
      <c r="C419" s="16" t="inlineStr">
        <is>
          <t>SINAPI</t>
        </is>
      </c>
      <c r="D419" s="16" t="inlineStr">
        <is>
          <t>ELETRODUTO FLEXÍVEL CORRUGADO, PVC, DN 25 MM (3/4"), PARA CIRCUITOS TERMINAIS, INSTALADO EM PAREDE - FORNECIMENTO E INSTALAÇÃO. AF_12/2015</t>
        </is>
      </c>
      <c r="E419" s="17" t="inlineStr">
        <is>
          <t>M</t>
        </is>
      </c>
      <c r="F419" s="18" t="n">
        <v>225.0</v>
      </c>
      <c r="G419" s="19" t="n">
        <v>8.719031025</v>
      </c>
      <c r="H419" s="19" t="str">
        <f>ROUND(G419 * (1 + 32.78 / 100), 9)</f>
      </c>
      <c r="I419" s="19" t="str">
        <f>ROUND(F419 * h419, 9)</f>
      </c>
      <c r="J419" s="20" t="str">
        <f>i419 / 1181066.0424007571906268</f>
      </c>
    </row>
    <row customHeight="1" ht="39" r="420">
      <c r="A420" s="16" t="inlineStr">
        <is>
          <t> 5.9.1.15 </t>
        </is>
      </c>
      <c r="B420" s="18" t="inlineStr">
        <is>
          <t> 91836 </t>
        </is>
      </c>
      <c r="C420" s="16" t="inlineStr">
        <is>
          <t>SINAPI</t>
        </is>
      </c>
      <c r="D420" s="16" t="inlineStr">
        <is>
          <t>ELETRODUTO FLEXÍVEL CORRUGADO, PVC, DN 32 MM (1"), PARA CIRCUITOS TERMINAIS, INSTALADO EM FORRO - FORNECIMENTO E INSTALAÇÃO. AF_12/2015</t>
        </is>
      </c>
      <c r="E420" s="17" t="inlineStr">
        <is>
          <t>M</t>
        </is>
      </c>
      <c r="F420" s="18" t="n">
        <v>57.0</v>
      </c>
      <c r="G420" s="19" t="n">
        <v>20.343035581</v>
      </c>
      <c r="H420" s="19" t="str">
        <f>ROUND(G420 * (1 + 32.78 / 100), 9)</f>
      </c>
      <c r="I420" s="19" t="str">
        <f>ROUND(F420 * h420, 9)</f>
      </c>
      <c r="J420" s="20" t="str">
        <f>i420 / 1181066.0424007571906268</f>
      </c>
    </row>
    <row customHeight="1" ht="39" r="421">
      <c r="A421" s="16" t="inlineStr">
        <is>
          <t> 5.9.1.16 </t>
        </is>
      </c>
      <c r="B421" s="18" t="inlineStr">
        <is>
          <t> 91860 </t>
        </is>
      </c>
      <c r="C421" s="16" t="inlineStr">
        <is>
          <t>SINAPI</t>
        </is>
      </c>
      <c r="D421" s="16" t="inlineStr">
        <is>
          <t>ELETRODUTO FLEXÍVEL CORRUGADO, PEAD, DN 40 MM (1 1/4"), PARA CIRCUITOS TERMINAIS, INSTALADO EM PAREDE - FORNECIMENTO E INSTALAÇÃO. AF_12/2015</t>
        </is>
      </c>
      <c r="E421" s="17" t="inlineStr">
        <is>
          <t>M</t>
        </is>
      </c>
      <c r="F421" s="18" t="n">
        <v>27.0</v>
      </c>
      <c r="G421" s="19" t="n">
        <v>11.669736045</v>
      </c>
      <c r="H421" s="19" t="str">
        <f>ROUND(G421 * (1 + 32.78 / 100), 9)</f>
      </c>
      <c r="I421" s="19" t="str">
        <f>ROUND(F421 * h421, 9)</f>
      </c>
      <c r="J421" s="20" t="str">
        <f>i421 / 1181066.0424007571906268</f>
      </c>
    </row>
    <row customHeight="1" ht="39" r="422">
      <c r="A422" s="16" t="inlineStr">
        <is>
          <t> 5.9.1.17 </t>
        </is>
      </c>
      <c r="B422" s="18" t="inlineStr">
        <is>
          <t> 91890 </t>
        </is>
      </c>
      <c r="C422" s="16" t="inlineStr">
        <is>
          <t>SINAPI</t>
        </is>
      </c>
      <c r="D422" s="16" t="inlineStr">
        <is>
          <t>CURVA 90 GRAUS PARA ELETRODUTO, PVC, ROSCÁVEL, DN 25 MM (3/4"), PARA CIRCUITOS TERMINAIS, INSTALADA EM FORRO - FORNECIMENTO E INSTALAÇÃO. AF_12/2015</t>
        </is>
      </c>
      <c r="E422" s="17" t="inlineStr">
        <is>
          <t>UN</t>
        </is>
      </c>
      <c r="F422" s="18" t="n">
        <v>36.0</v>
      </c>
      <c r="G422" s="19" t="n">
        <v>11.881002321</v>
      </c>
      <c r="H422" s="19" t="str">
        <f>ROUND(G422 * (1 + 32.78 / 100), 9)</f>
      </c>
      <c r="I422" s="19" t="str">
        <f>ROUND(F422 * h422, 9)</f>
      </c>
      <c r="J422" s="20" t="str">
        <f>i422 / 1181066.0424007571906268</f>
      </c>
    </row>
    <row customHeight="1" ht="39" r="423">
      <c r="A423" s="16" t="inlineStr">
        <is>
          <t> 5.9.1.18 </t>
        </is>
      </c>
      <c r="B423" s="18" t="inlineStr">
        <is>
          <t> 91893 </t>
        </is>
      </c>
      <c r="C423" s="16" t="inlineStr">
        <is>
          <t>SINAPI</t>
        </is>
      </c>
      <c r="D423" s="16" t="inlineStr">
        <is>
          <t>CURVA 90 GRAUS PARA ELETRODUTO, PVC, ROSCÁVEL, DN 32 MM (1"), PARA CIRCUITOS TERMINAIS, INSTALADA EM FORRO - FORNECIMENTO E INSTALAÇÃO. AF_12/2015</t>
        </is>
      </c>
      <c r="E423" s="17" t="inlineStr">
        <is>
          <t>UN</t>
        </is>
      </c>
      <c r="F423" s="18" t="n">
        <v>6.0</v>
      </c>
      <c r="G423" s="19" t="n">
        <v>14.978837656</v>
      </c>
      <c r="H423" s="19" t="str">
        <f>ROUND(G423 * (1 + 32.78 / 100), 9)</f>
      </c>
      <c r="I423" s="19" t="str">
        <f>ROUND(F423 * h423, 9)</f>
      </c>
      <c r="J423" s="20" t="str">
        <f>i423 / 1181066.0424007571906268</f>
      </c>
    </row>
    <row customHeight="1" ht="52" r="424">
      <c r="A424" s="16" t="inlineStr">
        <is>
          <t> 5.9.1.19 </t>
        </is>
      </c>
      <c r="B424" s="18" t="inlineStr">
        <is>
          <t> 91920 </t>
        </is>
      </c>
      <c r="C424" s="16" t="inlineStr">
        <is>
          <t>SINAPI</t>
        </is>
      </c>
      <c r="D424" s="16" t="inlineStr">
        <is>
          <t>CURVA 90 GRAUS PARA ELETRODUTO, PVC, ROSCÁVEL, DN 40 MM (1 1/4"), PARA CIRCUITOS TERMINAIS, INSTALADA EM PAREDE - FORNECIMENTO E INSTALAÇÃO. AF_12/2015</t>
        </is>
      </c>
      <c r="E424" s="17" t="inlineStr">
        <is>
          <t>UN</t>
        </is>
      </c>
      <c r="F424" s="18" t="n">
        <v>2.0</v>
      </c>
      <c r="G424" s="19" t="n">
        <v>20.848232269</v>
      </c>
      <c r="H424" s="19" t="str">
        <f>ROUND(G424 * (1 + 32.78 / 100), 9)</f>
      </c>
      <c r="I424" s="19" t="str">
        <f>ROUND(F424 * h424, 9)</f>
      </c>
      <c r="J424" s="20" t="str">
        <f>i424 / 1181066.0424007571906268</f>
      </c>
    </row>
    <row customHeight="1" ht="39" r="425">
      <c r="A425" s="16" t="inlineStr">
        <is>
          <t> 5.9.1.20 </t>
        </is>
      </c>
      <c r="B425" s="18" t="inlineStr">
        <is>
          <t> 91940 </t>
        </is>
      </c>
      <c r="C425" s="16" t="inlineStr">
        <is>
          <t>SINAPI</t>
        </is>
      </c>
      <c r="D425" s="16" t="inlineStr">
        <is>
          <t>CAIXA RETANGULAR 4" X 2" MÉDIA (1,30 M DO PISO), PVC, INSTALADA EM PAREDE - FORNECIMENTO E INSTALAÇÃO. AF_12/2015</t>
        </is>
      </c>
      <c r="E425" s="17" t="inlineStr">
        <is>
          <t>UN</t>
        </is>
      </c>
      <c r="F425" s="18" t="n">
        <v>63.0</v>
      </c>
      <c r="G425" s="19" t="n">
        <v>15.73737902</v>
      </c>
      <c r="H425" s="19" t="str">
        <f>ROUND(G425 * (1 + 32.78 / 100), 9)</f>
      </c>
      <c r="I425" s="19" t="str">
        <f>ROUND(F425 * h425, 9)</f>
      </c>
      <c r="J425" s="20" t="str">
        <f>i425 / 1181066.0424007571906268</f>
      </c>
    </row>
    <row customHeight="1" ht="39" r="426">
      <c r="A426" s="16" t="inlineStr">
        <is>
          <t> 5.9.1.21 </t>
        </is>
      </c>
      <c r="B426" s="18" t="inlineStr">
        <is>
          <t> 91943 </t>
        </is>
      </c>
      <c r="C426" s="16" t="inlineStr">
        <is>
          <t>SINAPI</t>
        </is>
      </c>
      <c r="D426" s="16" t="inlineStr">
        <is>
          <t>CAIXA RETANGULAR 4" X 4" MÉDIA (1,30 M DO PISO), PVC, INSTALADA EM PAREDE - FORNECIMENTO E INSTALAÇÃO. AF_12/2015</t>
        </is>
      </c>
      <c r="E426" s="17" t="inlineStr">
        <is>
          <t>UN</t>
        </is>
      </c>
      <c r="F426" s="18" t="n">
        <v>3.0</v>
      </c>
      <c r="G426" s="19" t="n">
        <v>19.149593377</v>
      </c>
      <c r="H426" s="19" t="str">
        <f>ROUND(G426 * (1 + 32.78 / 100), 9)</f>
      </c>
      <c r="I426" s="19" t="str">
        <f>ROUND(F426 * h426, 9)</f>
      </c>
      <c r="J426" s="20" t="str">
        <f>i426 / 1181066.0424007571906268</f>
      </c>
    </row>
    <row customHeight="1" ht="26" r="427">
      <c r="A427" s="16" t="inlineStr">
        <is>
          <t> 5.9.1.22 </t>
        </is>
      </c>
      <c r="B427" s="18" t="inlineStr">
        <is>
          <t> 91936 </t>
        </is>
      </c>
      <c r="C427" s="16" t="inlineStr">
        <is>
          <t>SINAPI</t>
        </is>
      </c>
      <c r="D427" s="16" t="inlineStr">
        <is>
          <t>CAIXA OCTOGONAL 4" X 4", PVC, INSTALADA EM LAJE - FORNECIMENTO E INSTALAÇÃO. AF_12/2015</t>
        </is>
      </c>
      <c r="E427" s="17" t="inlineStr">
        <is>
          <t>UN</t>
        </is>
      </c>
      <c r="F427" s="18" t="n">
        <v>18.0</v>
      </c>
      <c r="G427" s="19" t="n">
        <v>16.532924832</v>
      </c>
      <c r="H427" s="19" t="str">
        <f>ROUND(G427 * (1 + 32.78 / 100), 9)</f>
      </c>
      <c r="I427" s="19" t="str">
        <f>ROUND(F427 * h427, 9)</f>
      </c>
      <c r="J427" s="20" t="str">
        <f>i427 / 1181066.0424007571906268</f>
      </c>
    </row>
    <row customHeight="1" ht="26" r="428">
      <c r="A428" s="45" t="inlineStr">
        <is>
          <t> 5.9.1.23 </t>
        </is>
      </c>
      <c r="B428" s="47" t="inlineStr">
        <is>
          <t> 00038091 </t>
        </is>
      </c>
      <c r="C428" s="45" t="inlineStr">
        <is>
          <t>SINAPI</t>
        </is>
      </c>
      <c r="D428" s="45" t="inlineStr">
        <is>
          <t>ESPELHO / PLACA CEGA 4" X 2", PARA INSTALACAO DE TOMADAS E INTERRUPTORES</t>
        </is>
      </c>
      <c r="E428" s="46" t="inlineStr">
        <is>
          <t>UN</t>
        </is>
      </c>
      <c r="F428" s="47" t="n">
        <v>8.0</v>
      </c>
      <c r="G428" s="48" t="n">
        <v>2.76</v>
      </c>
      <c r="H428" s="48" t="str">
        <f>ROUND(G428 * (1 + 32.78 / 100), 9)</f>
      </c>
      <c r="I428" s="48" t="str">
        <f>ROUND(F428 * h428, 9)</f>
      </c>
      <c r="J428" s="49" t="str">
        <f>i428 / 1181066.0424007571906268</f>
      </c>
    </row>
    <row customHeight="1" ht="39" r="429">
      <c r="A429" s="16" t="inlineStr">
        <is>
          <t> 5.9.1.24 </t>
        </is>
      </c>
      <c r="B429" s="18" t="inlineStr">
        <is>
          <t> 91953 </t>
        </is>
      </c>
      <c r="C429" s="16" t="inlineStr">
        <is>
          <t>SINAPI</t>
        </is>
      </c>
      <c r="D429" s="16" t="inlineStr">
        <is>
          <t>INTERRUPTOR SIMPLES (1 MÓDULO), 10A/250V, INCLUINDO SUPORTE E PLACA - FORNECIMENTO E INSTALAÇÃO. AF_12/2015</t>
        </is>
      </c>
      <c r="E429" s="17" t="inlineStr">
        <is>
          <t>UN</t>
        </is>
      </c>
      <c r="F429" s="18" t="n">
        <v>7.0</v>
      </c>
      <c r="G429" s="19" t="n">
        <v>27.958256484</v>
      </c>
      <c r="H429" s="19" t="str">
        <f>ROUND(G429 * (1 + 32.78 / 100), 9)</f>
      </c>
      <c r="I429" s="19" t="str">
        <f>ROUND(F429 * h429, 9)</f>
      </c>
      <c r="J429" s="20" t="str">
        <f>i429 / 1181066.0424007571906268</f>
      </c>
    </row>
    <row customHeight="1" ht="39" r="430">
      <c r="A430" s="16" t="inlineStr">
        <is>
          <t> 5.9.1.25 </t>
        </is>
      </c>
      <c r="B430" s="18" t="inlineStr">
        <is>
          <t> 91959 </t>
        </is>
      </c>
      <c r="C430" s="16" t="inlineStr">
        <is>
          <t>SINAPI</t>
        </is>
      </c>
      <c r="D430" s="16" t="inlineStr">
        <is>
          <t>INTERRUPTOR SIMPLES (2 MÓDULOS), 10A/250V, INCLUINDO SUPORTE E PLACA - FORNECIMENTO E INSTALAÇÃO. AF_12/2015</t>
        </is>
      </c>
      <c r="E430" s="17" t="inlineStr">
        <is>
          <t>UN</t>
        </is>
      </c>
      <c r="F430" s="18" t="n">
        <v>1.0</v>
      </c>
      <c r="G430" s="19" t="n">
        <v>42.907433157</v>
      </c>
      <c r="H430" s="19" t="str">
        <f>ROUND(G430 * (1 + 32.78 / 100), 9)</f>
      </c>
      <c r="I430" s="19" t="str">
        <f>ROUND(F430 * h430, 9)</f>
      </c>
      <c r="J430" s="20" t="str">
        <f>i430 / 1181066.0424007571906268</f>
      </c>
    </row>
    <row customHeight="1" ht="39" r="431">
      <c r="A431" s="16" t="inlineStr">
        <is>
          <t> 5.9.1.26 </t>
        </is>
      </c>
      <c r="B431" s="18" t="inlineStr">
        <is>
          <t> 91967 </t>
        </is>
      </c>
      <c r="C431" s="16" t="inlineStr">
        <is>
          <t>SINAPI</t>
        </is>
      </c>
      <c r="D431" s="16" t="inlineStr">
        <is>
          <t>INTERRUPTOR SIMPLES (3 MÓDULOS), 10A/250V, INCLUINDO SUPORTE E PLACA - FORNECIMENTO E INSTALAÇÃO. AF_12/2015</t>
        </is>
      </c>
      <c r="E431" s="17" t="inlineStr">
        <is>
          <t>UN</t>
        </is>
      </c>
      <c r="F431" s="18" t="n">
        <v>2.0</v>
      </c>
      <c r="G431" s="19" t="n">
        <v>57.85660983</v>
      </c>
      <c r="H431" s="19" t="str">
        <f>ROUND(G431 * (1 + 32.78 / 100), 9)</f>
      </c>
      <c r="I431" s="19" t="str">
        <f>ROUND(F431 * h431, 9)</f>
      </c>
      <c r="J431" s="20" t="str">
        <f>i431 / 1181066.0424007571906268</f>
      </c>
    </row>
    <row customHeight="1" ht="39" r="432">
      <c r="A432" s="16" t="inlineStr">
        <is>
          <t> 5.9.1.27 </t>
        </is>
      </c>
      <c r="B432" s="18" t="inlineStr">
        <is>
          <t> 92000 </t>
        </is>
      </c>
      <c r="C432" s="16" t="inlineStr">
        <is>
          <t>SINAPI</t>
        </is>
      </c>
      <c r="D432" s="16" t="inlineStr">
        <is>
          <t>TOMADA BAIXA DE EMBUTIR (1 MÓDULO), 2P+T 10 A, INCLUINDO SUPORTE E PLACA - FORNECIMENTO E INSTALAÇÃO. AF_12/2015</t>
        </is>
      </c>
      <c r="E432" s="17" t="inlineStr">
        <is>
          <t>UN</t>
        </is>
      </c>
      <c r="F432" s="18" t="n">
        <v>22.0</v>
      </c>
      <c r="G432" s="19" t="n">
        <v>29.458208053</v>
      </c>
      <c r="H432" s="19" t="str">
        <f>ROUND(G432 * (1 + 32.78 / 100), 9)</f>
      </c>
      <c r="I432" s="19" t="str">
        <f>ROUND(F432 * h432, 9)</f>
      </c>
      <c r="J432" s="20" t="str">
        <f>i432 / 1181066.0424007571906268</f>
      </c>
    </row>
    <row customHeight="1" ht="39" r="433">
      <c r="A433" s="16" t="inlineStr">
        <is>
          <t> 5.9.1.28 </t>
        </is>
      </c>
      <c r="B433" s="18" t="inlineStr">
        <is>
          <t> 92008 </t>
        </is>
      </c>
      <c r="C433" s="16" t="inlineStr">
        <is>
          <t>SINAPI</t>
        </is>
      </c>
      <c r="D433" s="16" t="inlineStr">
        <is>
          <t>TOMADA BAIXA DE EMBUTIR (2 MÓDULOS), 2P+T 10 A, INCLUINDO SUPORTE E PLACA - FORNECIMENTO E INSTALAÇÃO. AF_12/2015</t>
        </is>
      </c>
      <c r="E433" s="17" t="inlineStr">
        <is>
          <t>UN</t>
        </is>
      </c>
      <c r="F433" s="18" t="n">
        <v>9.0</v>
      </c>
      <c r="G433" s="19" t="n">
        <v>45.865341138</v>
      </c>
      <c r="H433" s="19" t="str">
        <f>ROUND(G433 * (1 + 32.78 / 100), 9)</f>
      </c>
      <c r="I433" s="19" t="str">
        <f>ROUND(F433 * h433, 9)</f>
      </c>
      <c r="J433" s="20" t="str">
        <f>i433 / 1181066.0424007571906268</f>
      </c>
    </row>
    <row customHeight="1" ht="26" r="434">
      <c r="A434" s="16" t="inlineStr">
        <is>
          <t> 5.9.1.29 </t>
        </is>
      </c>
      <c r="B434" s="18" t="inlineStr">
        <is>
          <t> 060121 </t>
        </is>
      </c>
      <c r="C434" s="16" t="inlineStr">
        <is>
          <t>SBC</t>
        </is>
      </c>
      <c r="D434" s="16" t="inlineStr">
        <is>
          <t>LUMINARIA DE EMBUTIR PLAFON 18W LED BRANCO FRIO 22,5x22,5</t>
        </is>
      </c>
      <c r="E434" s="17" t="inlineStr">
        <is>
          <t>UN</t>
        </is>
      </c>
      <c r="F434" s="18" t="n">
        <v>10.0</v>
      </c>
      <c r="G434" s="19" t="n">
        <v>53.89716</v>
      </c>
      <c r="H434" s="19" t="str">
        <f>ROUND(G434 * (1 + 32.78 / 100), 9)</f>
      </c>
      <c r="I434" s="19" t="str">
        <f>ROUND(F434 * h434, 9)</f>
      </c>
      <c r="J434" s="20" t="str">
        <f>i434 / 1181066.0424007571906268</f>
      </c>
    </row>
    <row customHeight="1" ht="26" r="435">
      <c r="A435" s="16" t="inlineStr">
        <is>
          <t> 5.9.1.30 </t>
        </is>
      </c>
      <c r="B435" s="18" t="inlineStr">
        <is>
          <t> 060287 </t>
        </is>
      </c>
      <c r="C435" s="16" t="inlineStr">
        <is>
          <t>SBC</t>
        </is>
      </c>
      <c r="D435" s="16" t="inlineStr">
        <is>
          <t>LUMINARIA DE SOBREPOR PLAFON 10x120cm 30W 1 LED BRANCO</t>
        </is>
      </c>
      <c r="E435" s="17" t="inlineStr">
        <is>
          <t>UN</t>
        </is>
      </c>
      <c r="F435" s="18" t="n">
        <v>5.0</v>
      </c>
      <c r="G435" s="19" t="n">
        <v>163.03066</v>
      </c>
      <c r="H435" s="19" t="str">
        <f>ROUND(G435 * (1 + 32.78 / 100), 9)</f>
      </c>
      <c r="I435" s="19" t="str">
        <f>ROUND(F435 * h435, 9)</f>
      </c>
      <c r="J435" s="20" t="str">
        <f>i435 / 1181066.0424007571906268</f>
      </c>
    </row>
    <row customHeight="1" ht="26" r="436">
      <c r="A436" s="16" t="inlineStr">
        <is>
          <t> 5.9.1.31 </t>
        </is>
      </c>
      <c r="B436" s="18" t="inlineStr">
        <is>
          <t> 060036 </t>
        </is>
      </c>
      <c r="C436" s="16" t="inlineStr">
        <is>
          <t>SBC</t>
        </is>
      </c>
      <c r="D436" s="16" t="inlineStr">
        <is>
          <t>LUMINARIA PRISMATICA 12"" PENDENTE ALUMINIO RJ-LP012+LAMPADA</t>
        </is>
      </c>
      <c r="E436" s="17" t="inlineStr">
        <is>
          <t>UN</t>
        </is>
      </c>
      <c r="F436" s="18" t="n">
        <v>3.0</v>
      </c>
      <c r="G436" s="19" t="n">
        <v>120.51716</v>
      </c>
      <c r="H436" s="19" t="str">
        <f>ROUND(G436 * (1 + 32.78 / 100), 9)</f>
      </c>
      <c r="I436" s="19" t="str">
        <f>ROUND(F436 * h436, 9)</f>
      </c>
      <c r="J436" s="20" t="str">
        <f>i436 / 1181066.0424007571906268</f>
      </c>
    </row>
    <row customHeight="1" ht="39" r="437">
      <c r="A437" s="16" t="inlineStr">
        <is>
          <t> 5.9.1.32 </t>
        </is>
      </c>
      <c r="B437" s="18" t="inlineStr">
        <is>
          <t> 97607 </t>
        </is>
      </c>
      <c r="C437" s="16" t="inlineStr">
        <is>
          <t>SINAPI</t>
        </is>
      </c>
      <c r="D437" s="16" t="inlineStr">
        <is>
          <t>LUMINÁRIA ARANDELA TIPO TARTARUGA, DE SOBREPOR, COM 1 LÂMPADA LED DE 6 W, SEM REATOR - FORNECIMENTO E INSTALAÇÃO. AF_02/2020</t>
        </is>
      </c>
      <c r="E437" s="17" t="inlineStr">
        <is>
          <t>UN</t>
        </is>
      </c>
      <c r="F437" s="18" t="n">
        <v>8.0</v>
      </c>
      <c r="G437" s="19" t="n">
        <v>113.897741395</v>
      </c>
      <c r="H437" s="19" t="str">
        <f>ROUND(G437 * (1 + 32.78 / 100), 9)</f>
      </c>
      <c r="I437" s="19" t="str">
        <f>ROUND(F437 * h437, 9)</f>
      </c>
      <c r="J437" s="20" t="str">
        <f>i437 / 1181066.0424007571906268</f>
      </c>
    </row>
    <row customHeight="1" ht="52" r="438">
      <c r="A438" s="16" t="inlineStr">
        <is>
          <t> 5.9.1.33 </t>
        </is>
      </c>
      <c r="B438" s="18" t="inlineStr">
        <is>
          <t> 101880 </t>
        </is>
      </c>
      <c r="C438" s="16" t="inlineStr">
        <is>
          <t>SINAPI</t>
        </is>
      </c>
      <c r="D438" s="16" t="inlineStr">
        <is>
          <t>QUADRO DE DISTRIBUIÇÃO DE ENERGIA EM CHAPA DE AÇO GALVANIZADO, DE EMBUTIR, COM BARRAMENTO TRIFÁSICO, PARA 30 DISJUNTORES DIN 150A - FORNECIMENTO E INSTALAÇÃO. AF_10/2020</t>
        </is>
      </c>
      <c r="E438" s="17" t="inlineStr">
        <is>
          <t>UN</t>
        </is>
      </c>
      <c r="F438" s="18" t="n">
        <v>1.0</v>
      </c>
      <c r="G438" s="19" t="n">
        <v>756.022616666</v>
      </c>
      <c r="H438" s="19" t="str">
        <f>ROUND(G438 * (1 + 32.78 / 100), 9)</f>
      </c>
      <c r="I438" s="19" t="str">
        <f>ROUND(F438 * h438, 9)</f>
      </c>
      <c r="J438" s="20" t="str">
        <f>i438 / 1181066.0424007571906268</f>
      </c>
    </row>
    <row customHeight="1" ht="26" r="439">
      <c r="A439" s="16" t="inlineStr">
        <is>
          <t> 5.9.1.34 </t>
        </is>
      </c>
      <c r="B439" s="18" t="inlineStr">
        <is>
          <t> 93655 </t>
        </is>
      </c>
      <c r="C439" s="16" t="inlineStr">
        <is>
          <t>SINAPI</t>
        </is>
      </c>
      <c r="D439" s="16" t="inlineStr">
        <is>
          <t>DISJUNTOR MONOPOLAR TIPO DIN, CORRENTE NOMINAL DE 20A - FORNECIMENTO E INSTALAÇÃO. AF_10/2020</t>
        </is>
      </c>
      <c r="E439" s="17" t="inlineStr">
        <is>
          <t>UN</t>
        </is>
      </c>
      <c r="F439" s="18" t="n">
        <v>12.0</v>
      </c>
      <c r="G439" s="19" t="n">
        <v>13.914278903</v>
      </c>
      <c r="H439" s="19" t="str">
        <f>ROUND(G439 * (1 + 32.78 / 100), 9)</f>
      </c>
      <c r="I439" s="19" t="str">
        <f>ROUND(F439 * h439, 9)</f>
      </c>
      <c r="J439" s="20" t="str">
        <f>i439 / 1181066.0424007571906268</f>
      </c>
    </row>
    <row customHeight="1" ht="26" r="440">
      <c r="A440" s="16" t="inlineStr">
        <is>
          <t> 5.9.1.35 </t>
        </is>
      </c>
      <c r="B440" s="18" t="inlineStr">
        <is>
          <t> 93663 </t>
        </is>
      </c>
      <c r="C440" s="16" t="inlineStr">
        <is>
          <t>SINAPI</t>
        </is>
      </c>
      <c r="D440" s="16" t="inlineStr">
        <is>
          <t>DISJUNTOR BIPOLAR TIPO DIN, CORRENTE NOMINAL DE 25A - FORNECIMENTO E INSTALAÇÃO. AF_10/2020</t>
        </is>
      </c>
      <c r="E440" s="17" t="inlineStr">
        <is>
          <t>UN</t>
        </is>
      </c>
      <c r="F440" s="18" t="n">
        <v>3.0</v>
      </c>
      <c r="G440" s="19" t="n">
        <v>63.844358289</v>
      </c>
      <c r="H440" s="19" t="str">
        <f>ROUND(G440 * (1 + 32.78 / 100), 9)</f>
      </c>
      <c r="I440" s="19" t="str">
        <f>ROUND(F440 * h440, 9)</f>
      </c>
      <c r="J440" s="20" t="str">
        <f>i440 / 1181066.0424007571906268</f>
      </c>
    </row>
    <row customHeight="1" ht="26" r="441">
      <c r="A441" s="16" t="inlineStr">
        <is>
          <t> 5.9.1.36 </t>
        </is>
      </c>
      <c r="B441" s="18" t="inlineStr">
        <is>
          <t> 93664 </t>
        </is>
      </c>
      <c r="C441" s="16" t="inlineStr">
        <is>
          <t>SINAPI</t>
        </is>
      </c>
      <c r="D441" s="16" t="inlineStr">
        <is>
          <t>DISJUNTOR BIPOLAR TIPO DIN, CORRENTE NOMINAL DE 32A - FORNECIMENTO E INSTALAÇÃO. AF_10/2020</t>
        </is>
      </c>
      <c r="E441" s="17" t="inlineStr">
        <is>
          <t>UN</t>
        </is>
      </c>
      <c r="F441" s="18" t="n">
        <v>2.0</v>
      </c>
      <c r="G441" s="19" t="n">
        <v>66.515717103</v>
      </c>
      <c r="H441" s="19" t="str">
        <f>ROUND(G441 * (1 + 32.78 / 100), 9)</f>
      </c>
      <c r="I441" s="19" t="str">
        <f>ROUND(F441 * h441, 9)</f>
      </c>
      <c r="J441" s="20" t="str">
        <f>i441 / 1181066.0424007571906268</f>
      </c>
    </row>
    <row customHeight="1" ht="26" r="442">
      <c r="A442" s="16" t="inlineStr">
        <is>
          <t> 5.9.1.37 </t>
        </is>
      </c>
      <c r="B442" s="18" t="inlineStr">
        <is>
          <t> 93673 </t>
        </is>
      </c>
      <c r="C442" s="16" t="inlineStr">
        <is>
          <t>SINAPI</t>
        </is>
      </c>
      <c r="D442" s="16" t="inlineStr">
        <is>
          <t>DISJUNTOR TRIPOLAR TIPO DIN, CORRENTE NOMINAL DE 50A - FORNECIMENTO E INSTALAÇÃO. AF_10/2020</t>
        </is>
      </c>
      <c r="E442" s="17" t="inlineStr">
        <is>
          <t>UN</t>
        </is>
      </c>
      <c r="F442" s="18" t="n">
        <v>1.0</v>
      </c>
      <c r="G442" s="19" t="n">
        <v>98.430650572</v>
      </c>
      <c r="H442" s="19" t="str">
        <f>ROUND(G442 * (1 + 32.78 / 100), 9)</f>
      </c>
      <c r="I442" s="19" t="str">
        <f>ROUND(F442 * h442, 9)</f>
      </c>
      <c r="J442" s="20" t="str">
        <f>i442 / 1181066.0424007571906268</f>
      </c>
    </row>
    <row customHeight="1" ht="39" r="443">
      <c r="A443" s="16" t="inlineStr">
        <is>
          <t> 5.9.1.38 </t>
        </is>
      </c>
      <c r="B443" s="18" t="inlineStr">
        <is>
          <t> 00000176 </t>
        </is>
      </c>
      <c r="C443" s="16" t="inlineStr">
        <is>
          <t>Próprio</t>
        </is>
      </c>
      <c r="D443" s="16" t="inlineStr">
        <is>
          <t>DISPOSITIVOS DE PROTEÇÃO CONTRA SURTOS (DPS) TETRAPOLAR, IN DESCARGA 20KA POR PÓLO, CLASSE I, GRAU DE PROTEÇÃO IP20, CONFORME IEC 61643-11</t>
        </is>
      </c>
      <c r="E443" s="17" t="inlineStr">
        <is>
          <t>Un</t>
        </is>
      </c>
      <c r="F443" s="18" t="n">
        <v>4.0</v>
      </c>
      <c r="G443" s="19" t="n">
        <v>260.8951569</v>
      </c>
      <c r="H443" s="19" t="str">
        <f>ROUND(G443 * (1 + 32.78 / 100), 9)</f>
      </c>
      <c r="I443" s="19" t="str">
        <f>ROUND(F443 * h443, 9)</f>
      </c>
      <c r="J443" s="20" t="str">
        <f>i443 / 1181066.0424007571906268</f>
      </c>
    </row>
    <row customHeight="1" ht="26" r="444">
      <c r="A444" s="16" t="inlineStr">
        <is>
          <t> 5.9.1.39 </t>
        </is>
      </c>
      <c r="B444" s="18" t="inlineStr">
        <is>
          <t> 064816 </t>
        </is>
      </c>
      <c r="C444" s="16" t="inlineStr">
        <is>
          <t>SBC</t>
        </is>
      </c>
      <c r="D444" s="16" t="inlineStr">
        <is>
          <t>DISPOSITIVO DIFERENCIAL DR ALTA SENSIB.(30mA) TETRAPOLAR 25A</t>
        </is>
      </c>
      <c r="E444" s="17" t="inlineStr">
        <is>
          <t>UN</t>
        </is>
      </c>
      <c r="F444" s="18" t="n">
        <v>1.0</v>
      </c>
      <c r="G444" s="19" t="n">
        <v>159.35508</v>
      </c>
      <c r="H444" s="19" t="str">
        <f>ROUND(G444 * (1 + 32.78 / 100), 9)</f>
      </c>
      <c r="I444" s="19" t="str">
        <f>ROUND(F444 * h444, 9)</f>
      </c>
      <c r="J444" s="20" t="str">
        <f>i444 / 1181066.0424007571906268</f>
      </c>
    </row>
    <row customHeight="1" ht="26" r="445">
      <c r="A445" s="16" t="inlineStr">
        <is>
          <t> 5.9.1.40 </t>
        </is>
      </c>
      <c r="B445" s="18" t="inlineStr">
        <is>
          <t> 96985 </t>
        </is>
      </c>
      <c r="C445" s="16" t="inlineStr">
        <is>
          <t>SINAPI</t>
        </is>
      </c>
      <c r="D445" s="16" t="inlineStr">
        <is>
          <t>HASTE DE ATERRAMENTO 5/8  PARA SPDA - FORNECIMENTO E INSTALAÇÃO. AF_12/2017</t>
        </is>
      </c>
      <c r="E445" s="17" t="inlineStr">
        <is>
          <t>UN</t>
        </is>
      </c>
      <c r="F445" s="18" t="n">
        <v>3.0</v>
      </c>
      <c r="G445" s="19" t="n">
        <v>83.451596974</v>
      </c>
      <c r="H445" s="19" t="str">
        <f>ROUND(G445 * (1 + 32.78 / 100), 9)</f>
      </c>
      <c r="I445" s="19" t="str">
        <f>ROUND(F445 * h445, 9)</f>
      </c>
      <c r="J445" s="20" t="str">
        <f>i445 / 1181066.0424007571906268</f>
      </c>
    </row>
    <row customHeight="1" ht="24" r="446">
      <c r="A446" s="16" t="inlineStr">
        <is>
          <t> 5.9.1.41 </t>
        </is>
      </c>
      <c r="B446" s="18" t="inlineStr">
        <is>
          <t> 00000226 </t>
        </is>
      </c>
      <c r="C446" s="16" t="inlineStr">
        <is>
          <t>Próprio</t>
        </is>
      </c>
      <c r="D446" s="16" t="inlineStr">
        <is>
          <t>PONTO DE ANTENA P/ TV (C/ FIAÇÃO)</t>
        </is>
      </c>
      <c r="E446" s="17" t="inlineStr">
        <is>
          <t>PT</t>
        </is>
      </c>
      <c r="F446" s="18" t="n">
        <v>4.0</v>
      </c>
      <c r="G446" s="19" t="n">
        <v>202.6929128</v>
      </c>
      <c r="H446" s="19" t="str">
        <f>ROUND(G446 * (1 + 32.78 / 100), 9)</f>
      </c>
      <c r="I446" s="19" t="str">
        <f>ROUND(F446 * h446, 9)</f>
      </c>
      <c r="J446" s="20" t="str">
        <f>i446 / 1181066.0424007571906268</f>
      </c>
    </row>
    <row customHeight="1" ht="24" r="447">
      <c r="A447" s="8" t="inlineStr">
        <is>
          <t> 5.9.2 </t>
        </is>
      </c>
      <c r="B447" s="8"/>
      <c r="C447" s="8"/>
      <c r="D447" s="8" t="inlineStr">
        <is>
          <t>Hidrossanitária</t>
        </is>
      </c>
      <c r="E447" s="8"/>
      <c r="F447" s="10"/>
      <c r="G447" s="8"/>
      <c r="H447" s="8"/>
      <c r="I447" s="11" t="n">
        <v>27463.057945270364</v>
      </c>
      <c r="J447" s="12" t="str">
        <f>i447 / 1181066.0424007571906268</f>
      </c>
    </row>
    <row customHeight="1" ht="24" r="448">
      <c r="A448" s="8" t="inlineStr">
        <is>
          <t> 5.9.2.1 </t>
        </is>
      </c>
      <c r="B448" s="8"/>
      <c r="C448" s="8"/>
      <c r="D448" s="8" t="inlineStr">
        <is>
          <t>Água fria</t>
        </is>
      </c>
      <c r="E448" s="8"/>
      <c r="F448" s="10"/>
      <c r="G448" s="8"/>
      <c r="H448" s="8"/>
      <c r="I448" s="11" t="n">
        <v>3868.2463194548727</v>
      </c>
      <c r="J448" s="12" t="str">
        <f>i448 / 1181066.0424007571906268</f>
      </c>
    </row>
    <row customHeight="1" ht="65" r="449">
      <c r="A449" s="16" t="inlineStr">
        <is>
          <t> 5.9.2.1.1 </t>
        </is>
      </c>
      <c r="B449" s="18" t="inlineStr">
        <is>
          <t> 94703 </t>
        </is>
      </c>
      <c r="C449" s="16" t="inlineStr">
        <is>
          <t>SINAPI</t>
        </is>
      </c>
      <c r="D449" s="16" t="inlineStr">
        <is>
          <t>ADAPTADOR COM FLANGE E ANEL DE VEDAÇÃO, PVC, SOLDÁVEL, DN  25 MM X 3/4 , INSTALADO EM RESERVAÇÃO DE ÁGUA DE EDIFICAÇÃO QUE POSSUA RESERVATÓRIO DE FIBRA/FIBROCIMENTO   FORNECIMENTO E INSTALAÇÃO. AF_06/2016</t>
        </is>
      </c>
      <c r="E449" s="17" t="inlineStr">
        <is>
          <t>UN</t>
        </is>
      </c>
      <c r="F449" s="18" t="n">
        <v>7.0</v>
      </c>
      <c r="G449" s="19" t="n">
        <v>18.097857192</v>
      </c>
      <c r="H449" s="19" t="str">
        <f>ROUND(G449 * (1 + 32.78 / 100), 9)</f>
      </c>
      <c r="I449" s="19" t="str">
        <f>ROUND(F449 * h449, 9)</f>
      </c>
      <c r="J449" s="20" t="str">
        <f>i449 / 1181066.0424007571906268</f>
      </c>
    </row>
    <row customHeight="1" ht="39" r="450">
      <c r="A450" s="16" t="inlineStr">
        <is>
          <t> 5.9.2.1.2 </t>
        </is>
      </c>
      <c r="B450" s="18" t="inlineStr">
        <is>
          <t> 89481 </t>
        </is>
      </c>
      <c r="C450" s="16" t="inlineStr">
        <is>
          <t>SINAPI</t>
        </is>
      </c>
      <c r="D450" s="16" t="inlineStr">
        <is>
          <t>JOELHO 90 GRAUS, PVC, SOLDÁVEL, DN 25MM, INSTALADO EM PRUMADA DE ÁGUA - FORNECIMENTO E INSTALAÇÃO. AF_12/2014</t>
        </is>
      </c>
      <c r="E450" s="17" t="inlineStr">
        <is>
          <t>UN</t>
        </is>
      </c>
      <c r="F450" s="18" t="n">
        <v>10.0</v>
      </c>
      <c r="G450" s="19" t="n">
        <v>4.278759498</v>
      </c>
      <c r="H450" s="19" t="str">
        <f>ROUND(G450 * (1 + 32.78 / 100), 9)</f>
      </c>
      <c r="I450" s="19" t="str">
        <f>ROUND(F450 * h450, 9)</f>
      </c>
      <c r="J450" s="20" t="str">
        <f>i450 / 1181066.0424007571906268</f>
      </c>
    </row>
    <row customHeight="1" ht="39" r="451">
      <c r="A451" s="16" t="inlineStr">
        <is>
          <t> 5.9.2.1.3 </t>
        </is>
      </c>
      <c r="B451" s="18" t="inlineStr">
        <is>
          <t> 90373 </t>
        </is>
      </c>
      <c r="C451" s="16" t="inlineStr">
        <is>
          <t>SINAPI</t>
        </is>
      </c>
      <c r="D451" s="16" t="inlineStr">
        <is>
          <t>JOELHO 90 GRAUS COM BUCHA DE LATÃO, PVC, SOLDÁVEL, DN 25MM, X 1/2 INSTALADO EM RAMAL OU SUB-RAMAL DE ÁGUA - FORNECIMENTO E INSTALAÇÃO. AF_12/2014</t>
        </is>
      </c>
      <c r="E451" s="17" t="inlineStr">
        <is>
          <t>UN</t>
        </is>
      </c>
      <c r="F451" s="18" t="n">
        <v>10.0</v>
      </c>
      <c r="G451" s="19" t="n">
        <v>10.789062526</v>
      </c>
      <c r="H451" s="19" t="str">
        <f>ROUND(G451 * (1 + 32.78 / 100), 9)</f>
      </c>
      <c r="I451" s="19" t="str">
        <f>ROUND(F451 * h451, 9)</f>
      </c>
      <c r="J451" s="20" t="str">
        <f>i451 / 1181066.0424007571906268</f>
      </c>
    </row>
    <row customHeight="1" ht="26" r="452">
      <c r="A452" s="16" t="inlineStr">
        <is>
          <t> 5.9.2.1.4 </t>
        </is>
      </c>
      <c r="B452" s="18" t="inlineStr">
        <is>
          <t> 89617 </t>
        </is>
      </c>
      <c r="C452" s="16" t="inlineStr">
        <is>
          <t>SINAPI</t>
        </is>
      </c>
      <c r="D452" s="16" t="inlineStr">
        <is>
          <t>TE, PVC, SOLDÁVEL, DN 25MM, INSTALADO EM PRUMADA DE ÁGUA - FORNECIMENTO E INSTALAÇÃO. AF_12/2014</t>
        </is>
      </c>
      <c r="E452" s="17" t="inlineStr">
        <is>
          <t>UN</t>
        </is>
      </c>
      <c r="F452" s="18" t="n">
        <v>7.0</v>
      </c>
      <c r="G452" s="19" t="n">
        <v>6.068062153</v>
      </c>
      <c r="H452" s="19" t="str">
        <f>ROUND(G452 * (1 + 32.78 / 100), 9)</f>
      </c>
      <c r="I452" s="19" t="str">
        <f>ROUND(F452 * h452, 9)</f>
      </c>
      <c r="J452" s="20" t="str">
        <f>i452 / 1181066.0424007571906268</f>
      </c>
    </row>
    <row customHeight="1" ht="65" r="453">
      <c r="A453" s="16" t="inlineStr">
        <is>
          <t> 5.9.2.1.5 </t>
        </is>
      </c>
      <c r="B453" s="18" t="inlineStr">
        <is>
          <t> 94689 </t>
        </is>
      </c>
      <c r="C453" s="16" t="inlineStr">
        <is>
          <t>SINAPI</t>
        </is>
      </c>
      <c r="D453" s="16" t="inlineStr">
        <is>
          <t>TÊ COM BUCHA DE LATÃO NA BOLSA CENTRAL, PVC, SOLDÁVEL, DN  25 MM X 3/4 , INSTALADO EM RESERVAÇÃO DE ÁGUA DE EDIFICAÇÃO QUE POSSUA RESERVATÓRIO DE FIBRA/FIBROCIMENTO   FORNECIMENTO E INSTALAÇÃO. AF_06/2016</t>
        </is>
      </c>
      <c r="E453" s="17" t="inlineStr">
        <is>
          <t>UN</t>
        </is>
      </c>
      <c r="F453" s="18" t="n">
        <v>4.0</v>
      </c>
      <c r="G453" s="19" t="n">
        <v>11.974260173</v>
      </c>
      <c r="H453" s="19" t="str">
        <f>ROUND(G453 * (1 + 32.78 / 100), 9)</f>
      </c>
      <c r="I453" s="19" t="str">
        <f>ROUND(F453 * h453, 9)</f>
      </c>
      <c r="J453" s="20" t="str">
        <f>i453 / 1181066.0424007571906268</f>
      </c>
    </row>
    <row customHeight="1" ht="39" r="454">
      <c r="A454" s="16" t="inlineStr">
        <is>
          <t> 5.9.2.1.6 </t>
        </is>
      </c>
      <c r="B454" s="18" t="inlineStr">
        <is>
          <t> 96704 </t>
        </is>
      </c>
      <c r="C454" s="16" t="inlineStr">
        <is>
          <t>SINAPI</t>
        </is>
      </c>
      <c r="D454" s="16" t="inlineStr">
        <is>
          <t>BUCHA DE REDUÇÃO, PPR, 40 X 25, CLASSE PN 25, INSTALADO EM PRUMADA DE ÁGUA  FORNECIMENTO E INSTALAÇÃO . AF_06/2015</t>
        </is>
      </c>
      <c r="E454" s="17" t="inlineStr">
        <is>
          <t>UN</t>
        </is>
      </c>
      <c r="F454" s="18" t="n">
        <v>1.0</v>
      </c>
      <c r="G454" s="19" t="n">
        <v>17.391979635</v>
      </c>
      <c r="H454" s="19" t="str">
        <f>ROUND(G454 * (1 + 32.78 / 100), 9)</f>
      </c>
      <c r="I454" s="19" t="str">
        <f>ROUND(F454 * h454, 9)</f>
      </c>
      <c r="J454" s="20" t="str">
        <f>i454 / 1181066.0424007571906268</f>
      </c>
    </row>
    <row customHeight="1" ht="65" r="455">
      <c r="A455" s="16" t="inlineStr">
        <is>
          <t> 5.9.2.1.7 </t>
        </is>
      </c>
      <c r="B455" s="18" t="inlineStr">
        <is>
          <t> 91785 </t>
        </is>
      </c>
      <c r="C455" s="16" t="inlineStr">
        <is>
          <t>SINAPI</t>
        </is>
      </c>
      <c r="D455" s="16" t="inlineStr">
        <is>
          <t>(COMPOSIÇÃO REPRESENTATIVA) DO SERVIÇO DE INSTALAÇÃO DE TUBOS DE PVC, SOLDÁVEL, ÁGUA FRIA, DN 25 MM (INSTALADO EM RAMAL, SUB-RAMAL, RAMAL DE DISTRIBUIÇÃO OU PRUMADA), INCLUSIVE CONEXÕES, CORTES E FIXAÇÕES, PARA PRÉDIOS. AF_10/2015</t>
        </is>
      </c>
      <c r="E455" s="17" t="inlineStr">
        <is>
          <t>M</t>
        </is>
      </c>
      <c r="F455" s="18" t="n">
        <v>47.6</v>
      </c>
      <c r="G455" s="19" t="n">
        <v>36.496729158</v>
      </c>
      <c r="H455" s="19" t="str">
        <f>ROUND(G455 * (1 + 32.78 / 100), 9)</f>
      </c>
      <c r="I455" s="19" t="str">
        <f>ROUND(F455 * h455, 9)</f>
      </c>
      <c r="J455" s="20" t="str">
        <f>i455 / 1181066.0424007571906268</f>
      </c>
    </row>
    <row customHeight="1" ht="52" r="456">
      <c r="A456" s="16" t="inlineStr">
        <is>
          <t> 5.9.2.1.8 </t>
        </is>
      </c>
      <c r="B456" s="18" t="inlineStr">
        <is>
          <t> 91787 </t>
        </is>
      </c>
      <c r="C456" s="16" t="inlineStr">
        <is>
          <t>SINAPI</t>
        </is>
      </c>
      <c r="D456" s="16" t="inlineStr">
        <is>
          <t>(COMPOSIÇÃO REPRESENTATIVA) DO SERVIÇO DE INSTALAÇÃO DE TUBOS DE PVC, SOLDÁVEL, ÁGUA FRIA, DN 40 MM (INSTALADO EM PRUMADA), INCLUSIVE CONEXÕES, CORTES E FIXAÇÕES, PARA PRÉDIOS. AF_10/2015</t>
        </is>
      </c>
      <c r="E456" s="17" t="inlineStr">
        <is>
          <t>M</t>
        </is>
      </c>
      <c r="F456" s="18" t="n">
        <v>4.0</v>
      </c>
      <c r="G456" s="19" t="n">
        <v>30.407059231</v>
      </c>
      <c r="H456" s="19" t="str">
        <f>ROUND(G456 * (1 + 32.78 / 100), 9)</f>
      </c>
      <c r="I456" s="19" t="str">
        <f>ROUND(F456 * h456, 9)</f>
      </c>
      <c r="J456" s="20" t="str">
        <f>i456 / 1181066.0424007571906268</f>
      </c>
    </row>
    <row customHeight="1" ht="39" r="457">
      <c r="A457" s="16" t="inlineStr">
        <is>
          <t> 5.9.2.1.9 </t>
        </is>
      </c>
      <c r="B457" s="18" t="inlineStr">
        <is>
          <t> 89987 </t>
        </is>
      </c>
      <c r="C457" s="16" t="inlineStr">
        <is>
          <t>SINAPI</t>
        </is>
      </c>
      <c r="D457" s="16" t="inlineStr">
        <is>
          <t>REGISTRO DE GAVETA BRUTO, LATÃO, ROSCÁVEL, 3/4", COM ACABAMENTO E CANOPLA CROMADOS. FORNECIDO E INSTALADO EM RAMAL DE ÁGUA. AF_12/2014</t>
        </is>
      </c>
      <c r="E457" s="17" t="inlineStr">
        <is>
          <t>UN</t>
        </is>
      </c>
      <c r="F457" s="18" t="n">
        <v>4.0</v>
      </c>
      <c r="G457" s="19" t="n">
        <v>97.783372756</v>
      </c>
      <c r="H457" s="19" t="str">
        <f>ROUND(G457 * (1 + 32.78 / 100), 9)</f>
      </c>
      <c r="I457" s="19" t="str">
        <f>ROUND(F457 * h457, 9)</f>
      </c>
      <c r="J457" s="20" t="str">
        <f>i457 / 1181066.0424007571906268</f>
      </c>
    </row>
    <row customHeight="1" ht="39" r="458">
      <c r="A458" s="16" t="inlineStr">
        <is>
          <t> 5.9.2.1.10 </t>
        </is>
      </c>
      <c r="B458" s="18" t="inlineStr">
        <is>
          <t> 89985 </t>
        </is>
      </c>
      <c r="C458" s="16" t="inlineStr">
        <is>
          <t>SINAPI</t>
        </is>
      </c>
      <c r="D458" s="16" t="inlineStr">
        <is>
          <t>REGISTRO DE PRESSÃO BRUTO, LATÃO, ROSCÁVEL, 3/4", COM ACABAMENTO E CANOPLA CROMADOS. FORNECIDO E INSTALADO EM RAMAL DE ÁGUA. AF_12/2014</t>
        </is>
      </c>
      <c r="E458" s="17" t="inlineStr">
        <is>
          <t>UN</t>
        </is>
      </c>
      <c r="F458" s="18" t="n">
        <v>3.0</v>
      </c>
      <c r="G458" s="19" t="n">
        <v>92.713372756</v>
      </c>
      <c r="H458" s="19" t="str">
        <f>ROUND(G458 * (1 + 32.78 / 100), 9)</f>
      </c>
      <c r="I458" s="19" t="str">
        <f>ROUND(F458 * h458, 9)</f>
      </c>
      <c r="J458" s="20" t="str">
        <f>i458 / 1181066.0424007571906268</f>
      </c>
    </row>
    <row customHeight="1" ht="24" r="459">
      <c r="A459" s="8" t="inlineStr">
        <is>
          <t> 5.9.2.2 </t>
        </is>
      </c>
      <c r="B459" s="8"/>
      <c r="C459" s="8"/>
      <c r="D459" s="8" t="inlineStr">
        <is>
          <t>Esgoto e drenagem</t>
        </is>
      </c>
      <c r="E459" s="8"/>
      <c r="F459" s="10"/>
      <c r="G459" s="8"/>
      <c r="H459" s="8"/>
      <c r="I459" s="11" t="n">
        <v>23594.81162581549</v>
      </c>
      <c r="J459" s="12" t="str">
        <f>i459 / 1181066.0424007571906268</f>
      </c>
    </row>
    <row customHeight="1" ht="52" r="460">
      <c r="A460" s="16" t="inlineStr">
        <is>
          <t> 5.9.2.2.1 </t>
        </is>
      </c>
      <c r="B460" s="18" t="inlineStr">
        <is>
          <t> 89744 </t>
        </is>
      </c>
      <c r="C460" s="16" t="inlineStr">
        <is>
          <t>SINAPI</t>
        </is>
      </c>
      <c r="D460" s="16" t="inlineStr">
        <is>
          <t>JOELHO 90 GRAUS, PVC, SERIE NORMAL, ESGOTO PREDIAL, DN 100 MM, JUNTA ELÁSTICA, FORNECIDO E INSTALADO EM RAMAL DE DESCARGA OU RAMAL DE ESGOTO SANITÁRIO. AF_12/2014</t>
        </is>
      </c>
      <c r="E460" s="17" t="inlineStr">
        <is>
          <t>UN</t>
        </is>
      </c>
      <c r="F460" s="18" t="n">
        <v>2.0</v>
      </c>
      <c r="G460" s="19" t="n">
        <v>25.515137832</v>
      </c>
      <c r="H460" s="19" t="str">
        <f>ROUND(G460 * (1 + 32.78 / 100), 9)</f>
      </c>
      <c r="I460" s="19" t="str">
        <f>ROUND(F460 * h460, 9)</f>
      </c>
      <c r="J460" s="20" t="str">
        <f>i460 / 1181066.0424007571906268</f>
      </c>
    </row>
    <row customHeight="1" ht="52" r="461">
      <c r="A461" s="16" t="inlineStr">
        <is>
          <t> 5.9.2.2.2 </t>
        </is>
      </c>
      <c r="B461" s="18" t="inlineStr">
        <is>
          <t> 89737 </t>
        </is>
      </c>
      <c r="C461" s="16" t="inlineStr">
        <is>
          <t>SINAPI</t>
        </is>
      </c>
      <c r="D461" s="16" t="inlineStr">
        <is>
          <t>JOELHO 90 GRAUS, PVC, SERIE NORMAL, ESGOTO PREDIAL, DN 75 MM, JUNTA ELÁSTICA, FORNECIDO E INSTALADO EM RAMAL DE DESCARGA OU RAMAL DE ESGOTO SANITÁRIO. AF_12/2014</t>
        </is>
      </c>
      <c r="E461" s="17" t="inlineStr">
        <is>
          <t>UN</t>
        </is>
      </c>
      <c r="F461" s="18" t="n">
        <v>2.0</v>
      </c>
      <c r="G461" s="19" t="n">
        <v>20.986749324</v>
      </c>
      <c r="H461" s="19" t="str">
        <f>ROUND(G461 * (1 + 32.78 / 100), 9)</f>
      </c>
      <c r="I461" s="19" t="str">
        <f>ROUND(F461 * h461, 9)</f>
      </c>
      <c r="J461" s="20" t="str">
        <f>i461 / 1181066.0424007571906268</f>
      </c>
    </row>
    <row customHeight="1" ht="52" r="462">
      <c r="A462" s="16" t="inlineStr">
        <is>
          <t> 5.9.2.2.3 </t>
        </is>
      </c>
      <c r="B462" s="18" t="inlineStr">
        <is>
          <t> 89731 </t>
        </is>
      </c>
      <c r="C462" s="16" t="inlineStr">
        <is>
          <t>SINAPI</t>
        </is>
      </c>
      <c r="D462" s="16" t="inlineStr">
        <is>
          <t>JOELHO 90 GRAUS, PVC, SERIE NORMAL, ESGOTO PREDIAL, DN 50 MM, JUNTA ELÁSTICA, FORNECIDO E INSTALADO EM RAMAL DE DESCARGA OU RAMAL DE ESGOTO SANITÁRIO. AF_12/2014</t>
        </is>
      </c>
      <c r="E462" s="17" t="inlineStr">
        <is>
          <t>UN</t>
        </is>
      </c>
      <c r="F462" s="18" t="n">
        <v>13.0</v>
      </c>
      <c r="G462" s="19" t="n">
        <v>13.638944351</v>
      </c>
      <c r="H462" s="19" t="str">
        <f>ROUND(G462 * (1 + 32.78 / 100), 9)</f>
      </c>
      <c r="I462" s="19" t="str">
        <f>ROUND(F462 * h462, 9)</f>
      </c>
      <c r="J462" s="20" t="str">
        <f>i462 / 1181066.0424007571906268</f>
      </c>
    </row>
    <row customHeight="1" ht="52" r="463">
      <c r="A463" s="16" t="inlineStr">
        <is>
          <t> 5.9.2.2.4 </t>
        </is>
      </c>
      <c r="B463" s="18" t="inlineStr">
        <is>
          <t> 89724 </t>
        </is>
      </c>
      <c r="C463" s="16" t="inlineStr">
        <is>
          <t>SINAPI</t>
        </is>
      </c>
      <c r="D463" s="16" t="inlineStr">
        <is>
          <t>JOELHO 90 GRAUS, PVC, SERIE NORMAL, ESGOTO PREDIAL, DN 40 MM, JUNTA SOLDÁVEL, FORNECIDO E INSTALADO EM RAMAL DE DESCARGA OU RAMAL DE ESGOTO SANITÁRIO. AF_12/2014</t>
        </is>
      </c>
      <c r="E463" s="17" t="inlineStr">
        <is>
          <t>UN</t>
        </is>
      </c>
      <c r="F463" s="18" t="n">
        <v>2.0</v>
      </c>
      <c r="G463" s="19" t="n">
        <v>8.356722069</v>
      </c>
      <c r="H463" s="19" t="str">
        <f>ROUND(G463 * (1 + 32.78 / 100), 9)</f>
      </c>
      <c r="I463" s="19" t="str">
        <f>ROUND(F463 * h463, 9)</f>
      </c>
      <c r="J463" s="20" t="str">
        <f>i463 / 1181066.0424007571906268</f>
      </c>
    </row>
    <row customHeight="1" ht="52" r="464">
      <c r="A464" s="16" t="inlineStr">
        <is>
          <t> 5.9.2.2.5 </t>
        </is>
      </c>
      <c r="B464" s="18" t="inlineStr">
        <is>
          <t> 89732 </t>
        </is>
      </c>
      <c r="C464" s="16" t="inlineStr">
        <is>
          <t>SINAPI</t>
        </is>
      </c>
      <c r="D464" s="16" t="inlineStr">
        <is>
          <t>JOELHO 45 GRAUS, PVC, SERIE NORMAL, ESGOTO PREDIAL, DN 50 MM, JUNTA ELÁSTICA, FORNECIDO E INSTALADO EM RAMAL DE DESCARGA OU RAMAL DE ESGOTO SANITÁRIO. AF_12/2014</t>
        </is>
      </c>
      <c r="E464" s="17" t="inlineStr">
        <is>
          <t>UN</t>
        </is>
      </c>
      <c r="F464" s="18" t="n">
        <v>5.0</v>
      </c>
      <c r="G464" s="19" t="n">
        <v>14.328944351</v>
      </c>
      <c r="H464" s="19" t="str">
        <f>ROUND(G464 * (1 + 32.78 / 100), 9)</f>
      </c>
      <c r="I464" s="19" t="str">
        <f>ROUND(F464 * h464, 9)</f>
      </c>
      <c r="J464" s="20" t="str">
        <f>i464 / 1181066.0424007571906268</f>
      </c>
    </row>
    <row customHeight="1" ht="52" r="465">
      <c r="A465" s="16" t="inlineStr">
        <is>
          <t> 5.9.2.2.6 </t>
        </is>
      </c>
      <c r="B465" s="18" t="inlineStr">
        <is>
          <t> 89785 </t>
        </is>
      </c>
      <c r="C465" s="16" t="inlineStr">
        <is>
          <t>SINAPI</t>
        </is>
      </c>
      <c r="D465" s="16" t="inlineStr">
        <is>
          <t>JUNÇÃO SIMPLES, PVC, SERIE NORMAL, ESGOTO PREDIAL, DN 50 X 50 MM, JUNTA ELÁSTICA, FORNECIDO E INSTALADO EM RAMAL DE DESCARGA OU RAMAL DE ESGOTO SANITÁRIO. AF_12/2014</t>
        </is>
      </c>
      <c r="E465" s="17" t="inlineStr">
        <is>
          <t>UN</t>
        </is>
      </c>
      <c r="F465" s="18" t="n">
        <v>2.0</v>
      </c>
      <c r="G465" s="19" t="n">
        <v>24.583620313</v>
      </c>
      <c r="H465" s="19" t="str">
        <f>ROUND(G465 * (1 + 32.78 / 100), 9)</f>
      </c>
      <c r="I465" s="19" t="str">
        <f>ROUND(F465 * h465, 9)</f>
      </c>
      <c r="J465" s="20" t="str">
        <f>i465 / 1181066.0424007571906268</f>
      </c>
    </row>
    <row customHeight="1" ht="52" r="466">
      <c r="A466" s="16" t="inlineStr">
        <is>
          <t> 5.9.2.2.7 </t>
        </is>
      </c>
      <c r="B466" s="18" t="inlineStr">
        <is>
          <t> 89786 </t>
        </is>
      </c>
      <c r="C466" s="16" t="inlineStr">
        <is>
          <t>SINAPI</t>
        </is>
      </c>
      <c r="D466" s="16" t="inlineStr">
        <is>
          <t>TE, PVC, SERIE NORMAL, ESGOTO PREDIAL, DN 75 X 75 MM, JUNTA ELÁSTICA, FORNECIDO E INSTALADO EM RAMAL DE DESCARGA OU RAMAL DE ESGOTO SANITÁRIO. AF_12/2014</t>
        </is>
      </c>
      <c r="E466" s="17" t="inlineStr">
        <is>
          <t>UN</t>
        </is>
      </c>
      <c r="F466" s="18" t="n">
        <v>4.0</v>
      </c>
      <c r="G466" s="19" t="n">
        <v>36.290901944</v>
      </c>
      <c r="H466" s="19" t="str">
        <f>ROUND(G466 * (1 + 32.78 / 100), 9)</f>
      </c>
      <c r="I466" s="19" t="str">
        <f>ROUND(F466 * h466, 9)</f>
      </c>
      <c r="J466" s="20" t="str">
        <f>i466 / 1181066.0424007571906268</f>
      </c>
    </row>
    <row customHeight="1" ht="26" r="467">
      <c r="A467" s="16" t="inlineStr">
        <is>
          <t> 5.9.2.2.8 </t>
        </is>
      </c>
      <c r="B467" s="18" t="inlineStr">
        <is>
          <t> 7594 </t>
        </is>
      </c>
      <c r="C467" s="16" t="inlineStr">
        <is>
          <t>ORSE</t>
        </is>
      </c>
      <c r="D467" s="16" t="inlineStr">
        <is>
          <t>TERMINAL DE VENTILAÇÃO EM PVC RÍGIDO SOLDÁVEL, PARA ESGOTO PRIMÁRIO, DIÂM = 75MM</t>
        </is>
      </c>
      <c r="E467" s="17" t="inlineStr">
        <is>
          <t>un</t>
        </is>
      </c>
      <c r="F467" s="18" t="n">
        <v>1.0</v>
      </c>
      <c r="G467" s="19" t="n">
        <v>20.42787226</v>
      </c>
      <c r="H467" s="19" t="str">
        <f>ROUND(G467 * (1 + 32.78 / 100), 9)</f>
      </c>
      <c r="I467" s="19" t="str">
        <f>ROUND(F467 * h467, 9)</f>
      </c>
      <c r="J467" s="20" t="str">
        <f>i467 / 1181066.0424007571906268</f>
      </c>
    </row>
    <row customHeight="1" ht="39" r="468">
      <c r="A468" s="16" t="inlineStr">
        <is>
          <t> 5.9.2.2.9 </t>
        </is>
      </c>
      <c r="B468" s="18" t="inlineStr">
        <is>
          <t> 89714 </t>
        </is>
      </c>
      <c r="C468" s="16" t="inlineStr">
        <is>
          <t>SINAPI</t>
        </is>
      </c>
      <c r="D468" s="16" t="inlineStr">
        <is>
          <t>TUBO PVC, SERIE NORMAL, ESGOTO PREDIAL, DN 100 MM, FORNECIDO E INSTALADO EM RAMAL DE DESCARGA OU RAMAL DE ESGOTO SANITÁRIO. AF_12/2014</t>
        </is>
      </c>
      <c r="E468" s="17" t="inlineStr">
        <is>
          <t>M</t>
        </is>
      </c>
      <c r="F468" s="18" t="n">
        <v>40.2</v>
      </c>
      <c r="G468" s="19" t="n">
        <v>32.026223207</v>
      </c>
      <c r="H468" s="19" t="str">
        <f>ROUND(G468 * (1 + 32.78 / 100), 9)</f>
      </c>
      <c r="I468" s="19" t="str">
        <f>ROUND(F468 * h468, 9)</f>
      </c>
      <c r="J468" s="20" t="str">
        <f>i468 / 1181066.0424007571906268</f>
      </c>
    </row>
    <row customHeight="1" ht="39" r="469">
      <c r="A469" s="16" t="inlineStr">
        <is>
          <t> 5.9.2.2.10 </t>
        </is>
      </c>
      <c r="B469" s="18" t="inlineStr">
        <is>
          <t> 89713 </t>
        </is>
      </c>
      <c r="C469" s="16" t="inlineStr">
        <is>
          <t>SINAPI</t>
        </is>
      </c>
      <c r="D469" s="16" t="inlineStr">
        <is>
          <t>TUBO PVC, SERIE NORMAL, ESGOTO PREDIAL, DN 75 MM, FORNECIDO E INSTALADO EM RAMAL DE DESCARGA OU RAMAL DE ESGOTO SANITÁRIO. AF_12/2014</t>
        </is>
      </c>
      <c r="E469" s="17" t="inlineStr">
        <is>
          <t>M</t>
        </is>
      </c>
      <c r="F469" s="18" t="n">
        <v>29.15</v>
      </c>
      <c r="G469" s="19" t="n">
        <v>28.798083811</v>
      </c>
      <c r="H469" s="19" t="str">
        <f>ROUND(G469 * (1 + 32.78 / 100), 9)</f>
      </c>
      <c r="I469" s="19" t="str">
        <f>ROUND(F469 * h469, 9)</f>
      </c>
      <c r="J469" s="20" t="str">
        <f>i469 / 1181066.0424007571906268</f>
      </c>
    </row>
    <row customHeight="1" ht="39" r="470">
      <c r="A470" s="16" t="inlineStr">
        <is>
          <t> 5.9.2.2.11 </t>
        </is>
      </c>
      <c r="B470" s="18" t="inlineStr">
        <is>
          <t> 89712 </t>
        </is>
      </c>
      <c r="C470" s="16" t="inlineStr">
        <is>
          <t>SINAPI</t>
        </is>
      </c>
      <c r="D470" s="16" t="inlineStr">
        <is>
          <t>TUBO PVC, SERIE NORMAL, ESGOTO PREDIAL, DN 50 MM, FORNECIDO E INSTALADO EM RAMAL DE DESCARGA OU RAMAL DE ESGOTO SANITÁRIO. AF_12/2014</t>
        </is>
      </c>
      <c r="E470" s="17" t="inlineStr">
        <is>
          <t>M</t>
        </is>
      </c>
      <c r="F470" s="18" t="n">
        <v>40.0</v>
      </c>
      <c r="G470" s="19" t="n">
        <v>23.017086415</v>
      </c>
      <c r="H470" s="19" t="str">
        <f>ROUND(G470 * (1 + 32.78 / 100), 9)</f>
      </c>
      <c r="I470" s="19" t="str">
        <f>ROUND(F470 * h470, 9)</f>
      </c>
      <c r="J470" s="20" t="str">
        <f>i470 / 1181066.0424007571906268</f>
      </c>
    </row>
    <row customHeight="1" ht="39" r="471">
      <c r="A471" s="16" t="inlineStr">
        <is>
          <t> 5.9.2.2.12 </t>
        </is>
      </c>
      <c r="B471" s="18" t="inlineStr">
        <is>
          <t> 89711 </t>
        </is>
      </c>
      <c r="C471" s="16" t="inlineStr">
        <is>
          <t>SINAPI</t>
        </is>
      </c>
      <c r="D471" s="16" t="inlineStr">
        <is>
          <t>TUBO PVC, SERIE NORMAL, ESGOTO PREDIAL, DN 40 MM, FORNECIDO E INSTALADO EM RAMAL DE DESCARGA OU RAMAL DE ESGOTO SANITÁRIO. AF_12/2014</t>
        </is>
      </c>
      <c r="E471" s="17" t="inlineStr">
        <is>
          <t>M</t>
        </is>
      </c>
      <c r="F471" s="18" t="n">
        <v>2.2</v>
      </c>
      <c r="G471" s="19" t="n">
        <v>17.786257671</v>
      </c>
      <c r="H471" s="19" t="str">
        <f>ROUND(G471 * (1 + 32.78 / 100), 9)</f>
      </c>
      <c r="I471" s="19" t="str">
        <f>ROUND(F471 * h471, 9)</f>
      </c>
      <c r="J471" s="20" t="str">
        <f>i471 / 1181066.0424007571906268</f>
      </c>
    </row>
    <row customHeight="1" ht="39" r="472">
      <c r="A472" s="16" t="inlineStr">
        <is>
          <t> 5.9.2.2.13 </t>
        </is>
      </c>
      <c r="B472" s="18" t="inlineStr">
        <is>
          <t> 89707 </t>
        </is>
      </c>
      <c r="C472" s="16" t="inlineStr">
        <is>
          <t>SINAPI</t>
        </is>
      </c>
      <c r="D472" s="16" t="inlineStr">
        <is>
          <t>CAIXA SIFONADA, PVC, DN 100 X 100 X 50 MM, JUNTA ELÁSTICA, FORNECIDA E INSTALADA EM RAMAL DE DESCARGA OU EM RAMAL DE ESGOTO SANITÁRIO. AF_12/2014</t>
        </is>
      </c>
      <c r="E472" s="17" t="inlineStr">
        <is>
          <t>UN</t>
        </is>
      </c>
      <c r="F472" s="18" t="n">
        <v>5.0</v>
      </c>
      <c r="G472" s="19" t="n">
        <v>45.267304849</v>
      </c>
      <c r="H472" s="19" t="str">
        <f>ROUND(G472 * (1 + 32.78 / 100), 9)</f>
      </c>
      <c r="I472" s="19" t="str">
        <f>ROUND(F472 * h472, 9)</f>
      </c>
      <c r="J472" s="20" t="str">
        <f>i472 / 1181066.0424007571906268</f>
      </c>
    </row>
    <row customHeight="1" ht="24" r="473">
      <c r="A473" s="16" t="inlineStr">
        <is>
          <t> 5.9.2.2.14 </t>
        </is>
      </c>
      <c r="B473" s="18" t="inlineStr">
        <is>
          <t> 4883 </t>
        </is>
      </c>
      <c r="C473" s="16" t="inlineStr">
        <is>
          <t>ORSE</t>
        </is>
      </c>
      <c r="D473" s="16" t="inlineStr">
        <is>
          <t>CAIXA DE INSPEÇÃO 0.60 X 0.60 X 0.60M</t>
        </is>
      </c>
      <c r="E473" s="17" t="inlineStr">
        <is>
          <t>un</t>
        </is>
      </c>
      <c r="F473" s="18" t="n">
        <v>3.0</v>
      </c>
      <c r="G473" s="19" t="n">
        <v>635.839558789</v>
      </c>
      <c r="H473" s="19" t="str">
        <f>ROUND(G473 * (1 + 32.78 / 100), 9)</f>
      </c>
      <c r="I473" s="19" t="str">
        <f>ROUND(F473 * h473, 9)</f>
      </c>
      <c r="J473" s="20" t="str">
        <f>i473 / 1181066.0424007571906268</f>
      </c>
    </row>
    <row customHeight="1" ht="26" r="474">
      <c r="A474" s="16" t="inlineStr">
        <is>
          <t> 5.9.2.2.15 </t>
        </is>
      </c>
      <c r="B474" s="18" t="inlineStr">
        <is>
          <t> 8076 </t>
        </is>
      </c>
      <c r="C474" s="16" t="inlineStr">
        <is>
          <t>ORSE</t>
        </is>
      </c>
      <c r="D474" s="16" t="inlineStr">
        <is>
          <t>CAIXA DE PASSAGEM EM ALVENARIA DE TIJOLOS MACIÇOS ESP. = 0,12M, DIM. INT. = 0.50 X 0.50 X 0.50M</t>
        </is>
      </c>
      <c r="E474" s="17" t="inlineStr">
        <is>
          <t>un</t>
        </is>
      </c>
      <c r="F474" s="18" t="n">
        <v>5.0</v>
      </c>
      <c r="G474" s="19" t="n">
        <v>317.898382076</v>
      </c>
      <c r="H474" s="19" t="str">
        <f>ROUND(G474 * (1 + 32.78 / 100), 9)</f>
      </c>
      <c r="I474" s="19" t="str">
        <f>ROUND(F474 * h474, 9)</f>
      </c>
      <c r="J474" s="20" t="str">
        <f>i474 / 1181066.0424007571906268</f>
      </c>
    </row>
    <row customHeight="1" ht="52" r="475">
      <c r="A475" s="16" t="inlineStr">
        <is>
          <t> 5.9.2.2.16 </t>
        </is>
      </c>
      <c r="B475" s="18" t="inlineStr">
        <is>
          <t> 98104 </t>
        </is>
      </c>
      <c r="C475" s="16" t="inlineStr">
        <is>
          <t>SINAPI</t>
        </is>
      </c>
      <c r="D475" s="16" t="inlineStr">
        <is>
          <t>CAIXA DE GORDURA SIMPLES (CAPACIDADE: 36L), RETANGULAR, EM ALVENARIA COM TIJOLOS CERÂMICOS MACIÇOS, DIMENSÕES INTERNAS = 0,2X0,4 M, ALTURA INTERNA = 0,8 M. AF_12/2020</t>
        </is>
      </c>
      <c r="E475" s="17" t="inlineStr">
        <is>
          <t>UN</t>
        </is>
      </c>
      <c r="F475" s="18" t="n">
        <v>1.0</v>
      </c>
      <c r="G475" s="19" t="n">
        <v>360.444237355</v>
      </c>
      <c r="H475" s="19" t="str">
        <f>ROUND(G475 * (1 + 32.78 / 100), 9)</f>
      </c>
      <c r="I475" s="19" t="str">
        <f>ROUND(F475 * h475, 9)</f>
      </c>
      <c r="J475" s="20" t="str">
        <f>i475 / 1181066.0424007571906268</f>
      </c>
    </row>
    <row customHeight="1" ht="78" r="476">
      <c r="A476" s="16" t="inlineStr">
        <is>
          <t> 5.9.2.2.17 </t>
        </is>
      </c>
      <c r="B476" s="18" t="inlineStr">
        <is>
          <t> 93350 </t>
        </is>
      </c>
      <c r="C476" s="16" t="inlineStr">
        <is>
          <t>SINAPI</t>
        </is>
      </c>
      <c r="D476" s="16" t="inlineStr">
        <is>
          <t>COLETOR PREDIAL DE ESGOTO, DA CAIXA ATÉ A REDE (DISTÂNCIA = 10 M, LARGURA DA VALA = 0,65 M), INCLUINDO ESCAVAÇÃO MANUAL, PREPARO DE FUNDO DE VALA E REATERRO MANUAL COM COMPACTAÇÃO MECANIZADA, TUBO PVC P/ REDE COLETORA ESGOTO JEI DN 100 MM E CONEXÕES - FORNECIMENTO E INSTALAÇÃO. AF_03/2016</t>
        </is>
      </c>
      <c r="E476" s="17" t="inlineStr">
        <is>
          <t>UN</t>
        </is>
      </c>
      <c r="F476" s="18" t="n">
        <v>1.0</v>
      </c>
      <c r="G476" s="19" t="n">
        <v>1079.834304518</v>
      </c>
      <c r="H476" s="19" t="str">
        <f>ROUND(G476 * (1 + 32.78 / 100), 9)</f>
      </c>
      <c r="I476" s="19" t="str">
        <f>ROUND(F476 * h476, 9)</f>
      </c>
      <c r="J476" s="20" t="str">
        <f>i476 / 1181066.0424007571906268</f>
      </c>
    </row>
    <row customHeight="1" ht="26" r="477">
      <c r="A477" s="16" t="inlineStr">
        <is>
          <t> 5.9.2.2.18 </t>
        </is>
      </c>
      <c r="B477" s="18" t="inlineStr">
        <is>
          <t> 4421 </t>
        </is>
      </c>
      <c r="C477" s="16" t="inlineStr">
        <is>
          <t>ORSE</t>
        </is>
      </c>
      <c r="D477" s="16" t="inlineStr">
        <is>
          <t>CANALETA DE CONCRETO C/ TAMPA REMOVÍVEL EM CHAPA DE AÇO (0,25 X 0,25 X 0,25M)</t>
        </is>
      </c>
      <c r="E477" s="17" t="inlineStr">
        <is>
          <t>m</t>
        </is>
      </c>
      <c r="F477" s="18" t="n">
        <v>27.75</v>
      </c>
      <c r="G477" s="19" t="n">
        <v>322.380882236</v>
      </c>
      <c r="H477" s="19" t="str">
        <f>ROUND(G477 * (1 + 32.78 / 100), 9)</f>
      </c>
      <c r="I477" s="19" t="str">
        <f>ROUND(F477 * h477, 9)</f>
      </c>
      <c r="J477" s="20" t="str">
        <f>i477 / 1181066.0424007571906268</f>
      </c>
    </row>
    <row customHeight="1" ht="24" r="478">
      <c r="A478" s="8" t="inlineStr">
        <is>
          <t> 5.10 </t>
        </is>
      </c>
      <c r="B478" s="8"/>
      <c r="C478" s="8"/>
      <c r="D478" s="8" t="inlineStr">
        <is>
          <t>PINTURA</t>
        </is>
      </c>
      <c r="E478" s="8"/>
      <c r="F478" s="10"/>
      <c r="G478" s="8"/>
      <c r="H478" s="8"/>
      <c r="I478" s="11" t="n">
        <v>25755.651470678218</v>
      </c>
      <c r="J478" s="12" t="str">
        <f>i478 / 1181066.0424007571906268</f>
      </c>
    </row>
    <row customHeight="1" ht="26" r="479">
      <c r="A479" s="16" t="inlineStr">
        <is>
          <t> 5.10.1 </t>
        </is>
      </c>
      <c r="B479" s="18" t="inlineStr">
        <is>
          <t> 88485 </t>
        </is>
      </c>
      <c r="C479" s="16" t="inlineStr">
        <is>
          <t>SINAPI</t>
        </is>
      </c>
      <c r="D479" s="16" t="inlineStr">
        <is>
          <t>APLICAÇÃO DE FUNDO SELADOR ACRÍLICO EM PAREDES, UMA DEMÃO. AF_06/2014</t>
        </is>
      </c>
      <c r="E479" s="17" t="inlineStr">
        <is>
          <t>m²</t>
        </is>
      </c>
      <c r="F479" s="18" t="n">
        <v>550.44</v>
      </c>
      <c r="G479" s="19" t="n">
        <v>2.904468632</v>
      </c>
      <c r="H479" s="19" t="str">
        <f>ROUND(G479 * (1 + 32.78 / 100), 9)</f>
      </c>
      <c r="I479" s="19" t="str">
        <f>ROUND(F479 * h479, 9)</f>
      </c>
      <c r="J479" s="20" t="str">
        <f>i479 / 1181066.0424007571906268</f>
      </c>
    </row>
    <row customHeight="1" ht="26" r="480">
      <c r="A480" s="16" t="inlineStr">
        <is>
          <t> 5.10.2 </t>
        </is>
      </c>
      <c r="B480" s="18" t="inlineStr">
        <is>
          <t> 88497 </t>
        </is>
      </c>
      <c r="C480" s="16" t="inlineStr">
        <is>
          <t>SINAPI</t>
        </is>
      </c>
      <c r="D480" s="16" t="inlineStr">
        <is>
          <t>APLICAÇÃO E LIXAMENTO DE MASSA LÁTEX EM PAREDES, DUAS DEMÃOS. AF_06/2014</t>
        </is>
      </c>
      <c r="E480" s="17" t="inlineStr">
        <is>
          <t>m²</t>
        </is>
      </c>
      <c r="F480" s="18" t="n">
        <v>550.44</v>
      </c>
      <c r="G480" s="19" t="n">
        <v>14.067497217</v>
      </c>
      <c r="H480" s="19" t="str">
        <f>ROUND(G480 * (1 + 32.78 / 100), 9)</f>
      </c>
      <c r="I480" s="19" t="str">
        <f>ROUND(F480 * h480, 9)</f>
      </c>
      <c r="J480" s="20" t="str">
        <f>i480 / 1181066.0424007571906268</f>
      </c>
    </row>
    <row customHeight="1" ht="26" r="481">
      <c r="A481" s="16" t="inlineStr">
        <is>
          <t> 5.10.3 </t>
        </is>
      </c>
      <c r="B481" s="18" t="inlineStr">
        <is>
          <t> 88489 </t>
        </is>
      </c>
      <c r="C481" s="16" t="inlineStr">
        <is>
          <t>SINAPI</t>
        </is>
      </c>
      <c r="D481" s="16" t="inlineStr">
        <is>
          <t>APLICAÇÃO MANUAL DE PINTURA COM TINTA LÁTEX ACRÍLICA EM PAREDES, DUAS DEMÃOS. AF_06/2014</t>
        </is>
      </c>
      <c r="E481" s="17" t="inlineStr">
        <is>
          <t>m²</t>
        </is>
      </c>
      <c r="F481" s="18" t="n">
        <v>550.44</v>
      </c>
      <c r="G481" s="19" t="n">
        <v>11.197476541</v>
      </c>
      <c r="H481" s="19" t="str">
        <f>ROUND(G481 * (1 + 32.78 / 100), 9)</f>
      </c>
      <c r="I481" s="19" t="str">
        <f>ROUND(F481 * h481, 9)</f>
      </c>
      <c r="J481" s="20" t="str">
        <f>i481 / 1181066.0424007571906268</f>
      </c>
    </row>
    <row customHeight="1" ht="52" r="482">
      <c r="A482" s="16" t="inlineStr">
        <is>
          <t> 5.10.4 </t>
        </is>
      </c>
      <c r="B482" s="18" t="inlineStr">
        <is>
          <t> 100761 </t>
        </is>
      </c>
      <c r="C482" s="16" t="inlineStr">
        <is>
          <t>SINAPI</t>
        </is>
      </c>
      <c r="D482" s="16" t="inlineStr">
        <is>
          <t>PINTURA COM TINTA ALQUÍDICA DE ACABAMENTO (ESMALTE SINTÉTICO FOSCO) PULVERIZADA SOBRE SUPERFÍCIES METÁLICAS (EXCETO PERFIL) EXECUTADO EM OBRA (02 DEMÃOS). AF_01/2020</t>
        </is>
      </c>
      <c r="E482" s="17" t="inlineStr">
        <is>
          <t>m²</t>
        </is>
      </c>
      <c r="F482" s="18" t="n">
        <v>39.74</v>
      </c>
      <c r="G482" s="19" t="n">
        <v>38.706213536</v>
      </c>
      <c r="H482" s="19" t="str">
        <f>ROUND(G482 * (1 + 32.78 / 100), 9)</f>
      </c>
      <c r="I482" s="19" t="str">
        <f>ROUND(F482 * h482, 9)</f>
      </c>
      <c r="J482" s="20" t="str">
        <f>i482 / 1181066.0424007571906268</f>
      </c>
    </row>
    <row customHeight="1" ht="39" r="483">
      <c r="A483" s="16" t="inlineStr">
        <is>
          <t> 5.10.5 </t>
        </is>
      </c>
      <c r="B483" s="18" t="inlineStr">
        <is>
          <t> 102229 </t>
        </is>
      </c>
      <c r="C483" s="16" t="inlineStr">
        <is>
          <t>SINAPI</t>
        </is>
      </c>
      <c r="D483" s="16" t="inlineStr">
        <is>
          <t>PINTURA TINTA DE ACABAMENTO (PIGMENTADA) ESMALTE SINTÉTICO ACETINADO EM MADEIRA, 3 DEMÃOS. AF_01/2021</t>
        </is>
      </c>
      <c r="E483" s="17" t="inlineStr">
        <is>
          <t>m²</t>
        </is>
      </c>
      <c r="F483" s="18" t="n">
        <v>21.42</v>
      </c>
      <c r="G483" s="19" t="n">
        <v>19.538853881</v>
      </c>
      <c r="H483" s="19" t="str">
        <f>ROUND(G483 * (1 + 32.78 / 100), 9)</f>
      </c>
      <c r="I483" s="19" t="str">
        <f>ROUND(F483 * h483, 9)</f>
      </c>
      <c r="J483" s="20" t="str">
        <f>i483 / 1181066.0424007571906268</f>
      </c>
    </row>
    <row customHeight="1" ht="24" r="484">
      <c r="A484" s="16" t="inlineStr">
        <is>
          <t> 5.10.6 </t>
        </is>
      </c>
      <c r="B484" s="18" t="inlineStr">
        <is>
          <t> 79500/002 </t>
        </is>
      </c>
      <c r="C484" s="16" t="inlineStr">
        <is>
          <t>SINAPI</t>
        </is>
      </c>
      <c r="D484" s="16" t="inlineStr">
        <is>
          <t>PINTURA ACRILICA EM PISO CIMENTADO, TRES DEMAOS</t>
        </is>
      </c>
      <c r="E484" s="17" t="inlineStr">
        <is>
          <t>m²</t>
        </is>
      </c>
      <c r="F484" s="18" t="n">
        <v>88.66</v>
      </c>
      <c r="G484" s="19" t="n">
        <v>21.8242961</v>
      </c>
      <c r="H484" s="19" t="str">
        <f>ROUND(G484 * (1 + 32.78 / 100), 9)</f>
      </c>
      <c r="I484" s="19" t="str">
        <f>ROUND(F484 * h484, 9)</f>
      </c>
      <c r="J484" s="20" t="str">
        <f>i484 / 1181066.0424007571906268</f>
      </c>
    </row>
    <row customHeight="1" ht="24" r="485">
      <c r="A485" s="8" t="inlineStr">
        <is>
          <t> 5.11 </t>
        </is>
      </c>
      <c r="B485" s="8"/>
      <c r="C485" s="8"/>
      <c r="D485" s="8" t="inlineStr">
        <is>
          <t>FORRO</t>
        </is>
      </c>
      <c r="E485" s="8"/>
      <c r="F485" s="10"/>
      <c r="G485" s="8"/>
      <c r="H485" s="8"/>
      <c r="I485" s="11" t="n">
        <v>17947.906952872978</v>
      </c>
      <c r="J485" s="12" t="str">
        <f>i485 / 1181066.0424007571906268</f>
      </c>
    </row>
    <row customHeight="1" ht="24" r="486">
      <c r="A486" s="16" t="inlineStr">
        <is>
          <t> 5.11.1 </t>
        </is>
      </c>
      <c r="B486" s="18" t="inlineStr">
        <is>
          <t> 00000182 </t>
        </is>
      </c>
      <c r="C486" s="16" t="inlineStr">
        <is>
          <t>Próprio</t>
        </is>
      </c>
      <c r="D486" s="16" t="inlineStr">
        <is>
          <t>FORRO EM GESSO ACARTONADO ARAMADO</t>
        </is>
      </c>
      <c r="E486" s="17" t="inlineStr">
        <is>
          <t>m²</t>
        </is>
      </c>
      <c r="F486" s="18" t="n">
        <v>97.44</v>
      </c>
      <c r="G486" s="19" t="n">
        <v>95.749917</v>
      </c>
      <c r="H486" s="19" t="str">
        <f>ROUND(G486 * (1 + 32.78 / 100), 9)</f>
      </c>
      <c r="I486" s="19" t="str">
        <f>ROUND(F486 * h486, 9)</f>
      </c>
      <c r="J486" s="20" t="str">
        <f>i486 / 1181066.0424007571906268</f>
      </c>
    </row>
    <row customHeight="1" ht="26" r="487">
      <c r="A487" s="16" t="inlineStr">
        <is>
          <t> 5.11.2 </t>
        </is>
      </c>
      <c r="B487" s="18" t="inlineStr">
        <is>
          <t> 88484 </t>
        </is>
      </c>
      <c r="C487" s="16" t="inlineStr">
        <is>
          <t>SINAPI</t>
        </is>
      </c>
      <c r="D487" s="16" t="inlineStr">
        <is>
          <t>APLICAÇÃO DE FUNDO SELADOR ACRÍLICO EM TETO, UMA DEMÃO. AF_06/2014</t>
        </is>
      </c>
      <c r="E487" s="17" t="inlineStr">
        <is>
          <t>m²</t>
        </is>
      </c>
      <c r="F487" s="18" t="n">
        <v>97.44</v>
      </c>
      <c r="G487" s="19" t="n">
        <v>3.649012528</v>
      </c>
      <c r="H487" s="19" t="str">
        <f>ROUND(G487 * (1 + 32.78 / 100), 9)</f>
      </c>
      <c r="I487" s="19" t="str">
        <f>ROUND(F487 * h487, 9)</f>
      </c>
      <c r="J487" s="20" t="str">
        <f>i487 / 1181066.0424007571906268</f>
      </c>
    </row>
    <row customHeight="1" ht="26" r="488">
      <c r="A488" s="16" t="inlineStr">
        <is>
          <t> 5.11.3 </t>
        </is>
      </c>
      <c r="B488" s="18" t="inlineStr">
        <is>
          <t> 88496 </t>
        </is>
      </c>
      <c r="C488" s="16" t="inlineStr">
        <is>
          <t>SINAPI</t>
        </is>
      </c>
      <c r="D488" s="16" t="inlineStr">
        <is>
          <t>APLICAÇÃO E LIXAMENTO DE MASSA LÁTEX EM TETO, DUAS DEMÃOS. AF_06/2014</t>
        </is>
      </c>
      <c r="E488" s="17" t="inlineStr">
        <is>
          <t>m²</t>
        </is>
      </c>
      <c r="F488" s="18" t="n">
        <v>97.44</v>
      </c>
      <c r="G488" s="19" t="n">
        <v>24.933824203</v>
      </c>
      <c r="H488" s="19" t="str">
        <f>ROUND(G488 * (1 + 32.78 / 100), 9)</f>
      </c>
      <c r="I488" s="19" t="str">
        <f>ROUND(F488 * h488, 9)</f>
      </c>
      <c r="J488" s="20" t="str">
        <f>i488 / 1181066.0424007571906268</f>
      </c>
    </row>
    <row customHeight="1" ht="26" r="489">
      <c r="A489" s="16" t="inlineStr">
        <is>
          <t> 5.11.4 </t>
        </is>
      </c>
      <c r="B489" s="18" t="inlineStr">
        <is>
          <t> 88486 </t>
        </is>
      </c>
      <c r="C489" s="16" t="inlineStr">
        <is>
          <t>SINAPI</t>
        </is>
      </c>
      <c r="D489" s="16" t="inlineStr">
        <is>
          <t>APLICAÇÃO MANUAL DE PINTURA COM TINTA LÁTEX PVA EM TETO, DUAS DEMÃOS. AF_06/2014</t>
        </is>
      </c>
      <c r="E489" s="17" t="inlineStr">
        <is>
          <t>m²</t>
        </is>
      </c>
      <c r="F489" s="18" t="n">
        <v>97.44</v>
      </c>
      <c r="G489" s="19" t="n">
        <v>14.388776154</v>
      </c>
      <c r="H489" s="19" t="str">
        <f>ROUND(G489 * (1 + 32.78 / 100), 9)</f>
      </c>
      <c r="I489" s="19" t="str">
        <f>ROUND(F489 * h489, 9)</f>
      </c>
      <c r="J489" s="20" t="str">
        <f>i489 / 1181066.0424007571906268</f>
      </c>
    </row>
    <row customHeight="1" ht="24" r="490">
      <c r="A490" s="8" t="inlineStr">
        <is>
          <t> 5.12 </t>
        </is>
      </c>
      <c r="B490" s="8"/>
      <c r="C490" s="8"/>
      <c r="D490" s="8" t="inlineStr">
        <is>
          <t>LOUÇAS, METAIS E ACESSÓRIOS</t>
        </is>
      </c>
      <c r="E490" s="8"/>
      <c r="F490" s="10"/>
      <c r="G490" s="8"/>
      <c r="H490" s="8"/>
      <c r="I490" s="11" t="n">
        <v>30676.40748146678</v>
      </c>
      <c r="J490" s="12" t="str">
        <f>i490 / 1181066.0424007571906268</f>
      </c>
    </row>
    <row customHeight="1" ht="24" r="491">
      <c r="A491" s="16" t="inlineStr">
        <is>
          <t> 5.12.1 </t>
        </is>
      </c>
      <c r="B491" s="18" t="inlineStr">
        <is>
          <t> 11150 </t>
        </is>
      </c>
      <c r="C491" s="16" t="inlineStr">
        <is>
          <t>ORSE</t>
        </is>
      </c>
      <c r="D491" s="16" t="inlineStr">
        <is>
          <t>BANCADA EM GRANITO VERDE UBATUBA, E = 2CM</t>
        </is>
      </c>
      <c r="E491" s="17" t="inlineStr">
        <is>
          <t>m²</t>
        </is>
      </c>
      <c r="F491" s="18" t="n">
        <v>9.0</v>
      </c>
      <c r="G491" s="19" t="n">
        <v>819.166727</v>
      </c>
      <c r="H491" s="19" t="str">
        <f>ROUND(G491 * (1 + 32.78 / 100), 9)</f>
      </c>
      <c r="I491" s="19" t="str">
        <f>ROUND(F491 * h491, 9)</f>
      </c>
      <c r="J491" s="20" t="str">
        <f>i491 / 1181066.0424007571906268</f>
      </c>
    </row>
    <row customHeight="1" ht="26" r="492">
      <c r="A492" s="45" t="inlineStr">
        <is>
          <t> 5.12.2 </t>
        </is>
      </c>
      <c r="B492" s="47" t="inlineStr">
        <is>
          <t> 00000568 </t>
        </is>
      </c>
      <c r="C492" s="45" t="inlineStr">
        <is>
          <t>SINAPI</t>
        </is>
      </c>
      <c r="D492" s="45" t="inlineStr">
        <is>
          <t>CANTONEIRA (ABAS IGUAIS) EM FERRO GALVANIZADO, 50,8 MM X 9,53 MM (L X E), 6,99 KG/M</t>
        </is>
      </c>
      <c r="E492" s="46" t="inlineStr">
        <is>
          <t>M</t>
        </is>
      </c>
      <c r="F492" s="47" t="n">
        <v>7.0</v>
      </c>
      <c r="G492" s="48" t="n">
        <v>70.53</v>
      </c>
      <c r="H492" s="48" t="str">
        <f>ROUND(G492 * (1 + 32.78 / 100), 9)</f>
      </c>
      <c r="I492" s="48" t="str">
        <f>ROUND(F492 * h492, 9)</f>
      </c>
      <c r="J492" s="49" t="str">
        <f>i492 / 1181066.0424007571906268</f>
      </c>
    </row>
    <row customHeight="1" ht="26" r="493">
      <c r="A493" s="16" t="inlineStr">
        <is>
          <t> 5.12.3 </t>
        </is>
      </c>
      <c r="B493" s="18" t="inlineStr">
        <is>
          <t> 190318 </t>
        </is>
      </c>
      <c r="C493" s="16" t="inlineStr">
        <is>
          <t>SBC</t>
        </is>
      </c>
      <c r="D493" s="16" t="inlineStr">
        <is>
          <t>CUBA DE SOBREPOR 0,35 x 0,35 cm (DECA LINHA CARRARA REF.L34 OU SIMILAR)</t>
        </is>
      </c>
      <c r="E493" s="17" t="inlineStr">
        <is>
          <t>UN</t>
        </is>
      </c>
      <c r="F493" s="18" t="n">
        <v>2.0</v>
      </c>
      <c r="G493" s="19" t="n">
        <v>868.65282</v>
      </c>
      <c r="H493" s="19" t="str">
        <f>ROUND(G493 * (1 + 32.78 / 100), 9)</f>
      </c>
      <c r="I493" s="19" t="str">
        <f>ROUND(F493 * h493, 9)</f>
      </c>
      <c r="J493" s="20" t="str">
        <f>i493 / 1181066.0424007571906268</f>
      </c>
    </row>
    <row customHeight="1" ht="39" r="494">
      <c r="A494" s="16" t="inlineStr">
        <is>
          <t> 5.12.4 </t>
        </is>
      </c>
      <c r="B494" s="18" t="inlineStr">
        <is>
          <t> 100852 </t>
        </is>
      </c>
      <c r="C494" s="16" t="inlineStr">
        <is>
          <t>SINAPI</t>
        </is>
      </c>
      <c r="D494" s="16" t="inlineStr">
        <is>
          <t>CUBA DE EMBUTIR RETANGULAR DE AÇO INOXIDÁVEL, 56 X 33 X 12 CM - FORNECIMENTO E INSTALAÇÃO. AF_01/2020</t>
        </is>
      </c>
      <c r="E494" s="17" t="inlineStr">
        <is>
          <t>UN</t>
        </is>
      </c>
      <c r="F494" s="18" t="n">
        <v>3.0</v>
      </c>
      <c r="G494" s="19" t="n">
        <v>249.801655099</v>
      </c>
      <c r="H494" s="19" t="str">
        <f>ROUND(G494 * (1 + 32.78 / 100), 9)</f>
      </c>
      <c r="I494" s="19" t="str">
        <f>ROUND(F494 * h494, 9)</f>
      </c>
      <c r="J494" s="20" t="str">
        <f>i494 / 1181066.0424007571906268</f>
      </c>
    </row>
    <row customHeight="1" ht="26" r="495">
      <c r="A495" s="16" t="inlineStr">
        <is>
          <t> 5.12.5 </t>
        </is>
      </c>
      <c r="B495" s="18" t="inlineStr">
        <is>
          <t> 86887 </t>
        </is>
      </c>
      <c r="C495" s="16" t="inlineStr">
        <is>
          <t>SINAPI</t>
        </is>
      </c>
      <c r="D495" s="16" t="inlineStr">
        <is>
          <t>ENGATE FLEXÍVEL EM INOX, 1/2  X 40CM - FORNECIMENTO E INSTALAÇÃO. AF_01/2020</t>
        </is>
      </c>
      <c r="E495" s="17" t="inlineStr">
        <is>
          <t>UN</t>
        </is>
      </c>
      <c r="F495" s="18" t="n">
        <v>4.0</v>
      </c>
      <c r="G495" s="19" t="n">
        <v>61.061806219</v>
      </c>
      <c r="H495" s="19" t="str">
        <f>ROUND(G495 * (1 + 32.78 / 100), 9)</f>
      </c>
      <c r="I495" s="19" t="str">
        <f>ROUND(F495 * h495, 9)</f>
      </c>
      <c r="J495" s="20" t="str">
        <f>i495 / 1181066.0424007571906268</f>
      </c>
    </row>
    <row customHeight="1" ht="26" r="496">
      <c r="A496" s="45" t="inlineStr">
        <is>
          <t> 5.12.6 </t>
        </is>
      </c>
      <c r="B496" s="47" t="inlineStr">
        <is>
          <t> 00001370 </t>
        </is>
      </c>
      <c r="C496" s="45" t="inlineStr">
        <is>
          <t>SINAPI</t>
        </is>
      </c>
      <c r="D496" s="45" t="inlineStr">
        <is>
          <t>DUCHA HIGIENICA PLASTICA COM REGISTRO METALICO 1/2 "</t>
        </is>
      </c>
      <c r="E496" s="46" t="inlineStr">
        <is>
          <t>UN</t>
        </is>
      </c>
      <c r="F496" s="47" t="n">
        <v>2.0</v>
      </c>
      <c r="G496" s="48" t="n">
        <v>114.25</v>
      </c>
      <c r="H496" s="48" t="str">
        <f>ROUND(G496 * (1 + 32.78 / 100), 9)</f>
      </c>
      <c r="I496" s="48" t="str">
        <f>ROUND(F496 * h496, 9)</f>
      </c>
      <c r="J496" s="49" t="str">
        <f>i496 / 1181066.0424007571906268</f>
      </c>
    </row>
    <row customHeight="1" ht="26" r="497">
      <c r="A497" s="16" t="inlineStr">
        <is>
          <t> 5.12.7 </t>
        </is>
      </c>
      <c r="B497" s="18" t="inlineStr">
        <is>
          <t> 86888 </t>
        </is>
      </c>
      <c r="C497" s="16" t="inlineStr">
        <is>
          <t>SINAPI</t>
        </is>
      </c>
      <c r="D497" s="16" t="inlineStr">
        <is>
          <t>VASO SANITÁRIO SIFONADO COM CAIXA ACOPLADA LOUÇA BRANCA - FORNECIMENTO E INSTALAÇÃO. AF_01/2020</t>
        </is>
      </c>
      <c r="E497" s="17" t="inlineStr">
        <is>
          <t>UN</t>
        </is>
      </c>
      <c r="F497" s="18" t="n">
        <v>2.0</v>
      </c>
      <c r="G497" s="19" t="n">
        <v>489.482377147</v>
      </c>
      <c r="H497" s="19" t="str">
        <f>ROUND(G497 * (1 + 32.78 / 100), 9)</f>
      </c>
      <c r="I497" s="19" t="str">
        <f>ROUND(F497 * h497, 9)</f>
      </c>
      <c r="J497" s="20" t="str">
        <f>i497 / 1181066.0424007571906268</f>
      </c>
    </row>
    <row customHeight="1" ht="26" r="498">
      <c r="A498" s="16" t="inlineStr">
        <is>
          <t> 5.12.8 </t>
        </is>
      </c>
      <c r="B498" s="18" t="inlineStr">
        <is>
          <t> 100849 </t>
        </is>
      </c>
      <c r="C498" s="16" t="inlineStr">
        <is>
          <t>SINAPI</t>
        </is>
      </c>
      <c r="D498" s="16" t="inlineStr">
        <is>
          <t>ASSENTO SANITÁRIO CONVENCIONAL - FORNECIMENTO E INSTALACAO. AF_01/2020</t>
        </is>
      </c>
      <c r="E498" s="17" t="inlineStr">
        <is>
          <t>UN</t>
        </is>
      </c>
      <c r="F498" s="18" t="n">
        <v>2.0</v>
      </c>
      <c r="G498" s="19" t="n">
        <v>39.487059746</v>
      </c>
      <c r="H498" s="19" t="str">
        <f>ROUND(G498 * (1 + 32.78 / 100), 9)</f>
      </c>
      <c r="I498" s="19" t="str">
        <f>ROUND(F498 * h498, 9)</f>
      </c>
      <c r="J498" s="20" t="str">
        <f>i498 / 1181066.0424007571906268</f>
      </c>
    </row>
    <row customHeight="1" ht="26" r="499">
      <c r="A499" s="16" t="inlineStr">
        <is>
          <t> 5.12.9 </t>
        </is>
      </c>
      <c r="B499" s="18" t="inlineStr">
        <is>
          <t> 74125/002 </t>
        </is>
      </c>
      <c r="C499" s="16" t="inlineStr">
        <is>
          <t>SINAPI</t>
        </is>
      </c>
      <c r="D499" s="16" t="inlineStr">
        <is>
          <t>ESPELHO CRISTAL ESPESSURA 4MM, COM MOLDURA EM ALUMINIO E COMPENSADO 6MM PLASTIFICADO COLADO</t>
        </is>
      </c>
      <c r="E499" s="17" t="inlineStr">
        <is>
          <t>m²</t>
        </is>
      </c>
      <c r="F499" s="18" t="n">
        <v>1.44</v>
      </c>
      <c r="G499" s="19" t="n">
        <v>1056.36553568</v>
      </c>
      <c r="H499" s="19" t="str">
        <f>ROUND(G499 * (1 + 32.78 / 100), 9)</f>
      </c>
      <c r="I499" s="19" t="str">
        <f>ROUND(F499 * h499, 9)</f>
      </c>
      <c r="J499" s="20" t="str">
        <f>i499 / 1181066.0424007571906268</f>
      </c>
    </row>
    <row customHeight="1" ht="26" r="500">
      <c r="A500" s="16" t="inlineStr">
        <is>
          <t> 5.12.10 </t>
        </is>
      </c>
      <c r="B500" s="18" t="inlineStr">
        <is>
          <t> 86881 </t>
        </is>
      </c>
      <c r="C500" s="16" t="inlineStr">
        <is>
          <t>SINAPI</t>
        </is>
      </c>
      <c r="D500" s="16" t="inlineStr">
        <is>
          <t>SIFÃO DO TIPO GARRAFA EM METAL CROMADO 1 X 1.1/2 - FORNECIMENTO E INSTALAÇÃO. AF_01/2020</t>
        </is>
      </c>
      <c r="E500" s="17" t="inlineStr">
        <is>
          <t>UN</t>
        </is>
      </c>
      <c r="F500" s="18" t="n">
        <v>5.0</v>
      </c>
      <c r="G500" s="19" t="n">
        <v>234.408068818</v>
      </c>
      <c r="H500" s="19" t="str">
        <f>ROUND(G500 * (1 + 32.78 / 100), 9)</f>
      </c>
      <c r="I500" s="19" t="str">
        <f>ROUND(F500 * h500, 9)</f>
      </c>
      <c r="J500" s="20" t="str">
        <f>i500 / 1181066.0424007571906268</f>
      </c>
    </row>
    <row customHeight="1" ht="39" r="501">
      <c r="A501" s="16" t="inlineStr">
        <is>
          <t> 5.12.11 </t>
        </is>
      </c>
      <c r="B501" s="18" t="inlineStr">
        <is>
          <t> 86877 </t>
        </is>
      </c>
      <c r="C501" s="16" t="inlineStr">
        <is>
          <t>SINAPI</t>
        </is>
      </c>
      <c r="D501" s="16" t="inlineStr">
        <is>
          <t>VÁLVULA EM METAL CROMADO 1.1/2 X 1.1/2 PARA TANQUE OU LAVATÓRIO, COM OU SEM LADRÃO - FORNECIMENTO E INSTALAÇÃO. AF_01/2020</t>
        </is>
      </c>
      <c r="E501" s="17" t="inlineStr">
        <is>
          <t>UN</t>
        </is>
      </c>
      <c r="F501" s="18" t="n">
        <v>4.0</v>
      </c>
      <c r="G501" s="19" t="n">
        <v>76.174766758</v>
      </c>
      <c r="H501" s="19" t="str">
        <f>ROUND(G501 * (1 + 32.78 / 100), 9)</f>
      </c>
      <c r="I501" s="19" t="str">
        <f>ROUND(F501 * h501, 9)</f>
      </c>
      <c r="J501" s="20" t="str">
        <f>i501 / 1181066.0424007571906268</f>
      </c>
    </row>
    <row customHeight="1" ht="39" r="502">
      <c r="A502" s="16" t="inlineStr">
        <is>
          <t> 5.12.12 </t>
        </is>
      </c>
      <c r="B502" s="18" t="inlineStr">
        <is>
          <t> 86878 </t>
        </is>
      </c>
      <c r="C502" s="16" t="inlineStr">
        <is>
          <t>SINAPI</t>
        </is>
      </c>
      <c r="D502" s="16" t="inlineStr">
        <is>
          <t>VÁLVULA EM METAL CROMADO TIPO AMERICANA 3.1/2 X 1.1/2 PARA PIA - FORNECIMENTO E INSTALAÇÃO. AF_01/2020</t>
        </is>
      </c>
      <c r="E502" s="17" t="inlineStr">
        <is>
          <t>UN</t>
        </is>
      </c>
      <c r="F502" s="18" t="n">
        <v>3.0</v>
      </c>
      <c r="G502" s="19" t="n">
        <v>82.284766758</v>
      </c>
      <c r="H502" s="19" t="str">
        <f>ROUND(G502 * (1 + 32.78 / 100), 9)</f>
      </c>
      <c r="I502" s="19" t="str">
        <f>ROUND(F502 * h502, 9)</f>
      </c>
      <c r="J502" s="20" t="str">
        <f>i502 / 1181066.0424007571906268</f>
      </c>
    </row>
    <row customHeight="1" ht="39" r="503">
      <c r="A503" s="16" t="inlineStr">
        <is>
          <t> 5.12.13 </t>
        </is>
      </c>
      <c r="B503" s="18" t="inlineStr">
        <is>
          <t> 86915 </t>
        </is>
      </c>
      <c r="C503" s="16" t="inlineStr">
        <is>
          <t>SINAPI</t>
        </is>
      </c>
      <c r="D503" s="16" t="inlineStr">
        <is>
          <t>TORNEIRA CROMADA DE MESA, 1/2 OU 3/4, PARA LAVATÓRIO, PADRÃO MÉDIO - FORNECIMENTO E INSTALAÇÃO. AF_01/2020</t>
        </is>
      </c>
      <c r="E503" s="17" t="inlineStr">
        <is>
          <t>UN</t>
        </is>
      </c>
      <c r="F503" s="18" t="n">
        <v>2.0</v>
      </c>
      <c r="G503" s="19" t="n">
        <v>198.395267871</v>
      </c>
      <c r="H503" s="19" t="str">
        <f>ROUND(G503 * (1 + 32.78 / 100), 9)</f>
      </c>
      <c r="I503" s="19" t="str">
        <f>ROUND(F503 * h503, 9)</f>
      </c>
      <c r="J503" s="20" t="str">
        <f>i503 / 1181066.0424007571906268</f>
      </c>
    </row>
    <row customHeight="1" ht="26" r="504">
      <c r="A504" s="16" t="inlineStr">
        <is>
          <t> 5.12.14 </t>
        </is>
      </c>
      <c r="B504" s="18" t="inlineStr">
        <is>
          <t> 86914 </t>
        </is>
      </c>
      <c r="C504" s="16" t="inlineStr">
        <is>
          <t>SINAPI</t>
        </is>
      </c>
      <c r="D504" s="16" t="inlineStr">
        <is>
          <t>TORNEIRA CROMADA 1/2 OU 3/4 PARA TANQUE, PADRÃO MÉDIO - FORNECIMENTO E INSTALAÇÃO. AF_01/2020</t>
        </is>
      </c>
      <c r="E504" s="17" t="inlineStr">
        <is>
          <t>UN</t>
        </is>
      </c>
      <c r="F504" s="18" t="n">
        <v>2.0</v>
      </c>
      <c r="G504" s="19" t="n">
        <v>134.521806219</v>
      </c>
      <c r="H504" s="19" t="str">
        <f>ROUND(G504 * (1 + 32.78 / 100), 9)</f>
      </c>
      <c r="I504" s="19" t="str">
        <f>ROUND(F504 * h504, 9)</f>
      </c>
      <c r="J504" s="20" t="str">
        <f>i504 / 1181066.0424007571906268</f>
      </c>
    </row>
    <row customHeight="1" ht="39" r="505">
      <c r="A505" s="16" t="inlineStr">
        <is>
          <t> 5.12.15 </t>
        </is>
      </c>
      <c r="B505" s="18" t="inlineStr">
        <is>
          <t> 86909 </t>
        </is>
      </c>
      <c r="C505" s="16" t="inlineStr">
        <is>
          <t>SINAPI</t>
        </is>
      </c>
      <c r="D505" s="16" t="inlineStr">
        <is>
          <t>TORNEIRA CROMADA TUBO MÓVEL, DE MESA, 1/2 OU 3/4, PARA PIA DE COZINHA, PADRÃO ALTO - FORNECIMENTO E INSTALAÇÃO. AF_01/2020</t>
        </is>
      </c>
      <c r="E505" s="17" t="inlineStr">
        <is>
          <t>UN</t>
        </is>
      </c>
      <c r="F505" s="18" t="n">
        <v>3.0</v>
      </c>
      <c r="G505" s="19" t="n">
        <v>178.44917189</v>
      </c>
      <c r="H505" s="19" t="str">
        <f>ROUND(G505 * (1 + 32.78 / 100), 9)</f>
      </c>
      <c r="I505" s="19" t="str">
        <f>ROUND(F505 * h505, 9)</f>
      </c>
      <c r="J505" s="20" t="str">
        <f>i505 / 1181066.0424007571906268</f>
      </c>
    </row>
    <row customHeight="1" ht="26" r="506">
      <c r="A506" s="16" t="inlineStr">
        <is>
          <t> 5.12.16 </t>
        </is>
      </c>
      <c r="B506" s="18" t="inlineStr">
        <is>
          <t> 86872 </t>
        </is>
      </c>
      <c r="C506" s="16" t="inlineStr">
        <is>
          <t>SINAPI</t>
        </is>
      </c>
      <c r="D506" s="16" t="inlineStr">
        <is>
          <t>TANQUE DE LOUÇA BRANCA COM COLUNA, 30L OU EQUIVALENTE - FORNECIMENTO E INSTALAÇÃO. AF_01/2020</t>
        </is>
      </c>
      <c r="E506" s="17" t="inlineStr">
        <is>
          <t>UN</t>
        </is>
      </c>
      <c r="F506" s="18" t="n">
        <v>2.0</v>
      </c>
      <c r="G506" s="19" t="n">
        <v>711.67131763</v>
      </c>
      <c r="H506" s="19" t="str">
        <f>ROUND(G506 * (1 + 32.78 / 100), 9)</f>
      </c>
      <c r="I506" s="19" t="str">
        <f>ROUND(F506 * h506, 9)</f>
      </c>
      <c r="J506" s="20" t="str">
        <f>i506 / 1181066.0424007571906268</f>
      </c>
    </row>
    <row customHeight="1" ht="26" r="507">
      <c r="A507" s="16" t="inlineStr">
        <is>
          <t> 5.12.17 </t>
        </is>
      </c>
      <c r="B507" s="18" t="inlineStr">
        <is>
          <t> 100860 </t>
        </is>
      </c>
      <c r="C507" s="16" t="inlineStr">
        <is>
          <t>SINAPI</t>
        </is>
      </c>
      <c r="D507" s="16" t="inlineStr">
        <is>
          <t>CHUVEIRO ELÉTRICO COMUM CORPO PLÁSTICO, TIPO DUCHA  FORNECIMENTO E INSTALAÇÃO. AF_01/2020</t>
        </is>
      </c>
      <c r="E507" s="17" t="inlineStr">
        <is>
          <t>UN</t>
        </is>
      </c>
      <c r="F507" s="18" t="n">
        <v>3.0</v>
      </c>
      <c r="G507" s="19" t="n">
        <v>95.576767994</v>
      </c>
      <c r="H507" s="19" t="str">
        <f>ROUND(G507 * (1 + 32.78 / 100), 9)</f>
      </c>
      <c r="I507" s="19" t="str">
        <f>ROUND(F507 * h507, 9)</f>
      </c>
      <c r="J507" s="20" t="str">
        <f>i507 / 1181066.0424007571906268</f>
      </c>
    </row>
    <row customHeight="1" ht="26" r="508">
      <c r="A508" s="16" t="inlineStr">
        <is>
          <t> 5.12.18 </t>
        </is>
      </c>
      <c r="B508" s="18" t="inlineStr">
        <is>
          <t> 95546 </t>
        </is>
      </c>
      <c r="C508" s="16" t="inlineStr">
        <is>
          <t>SINAPI</t>
        </is>
      </c>
      <c r="D508" s="16" t="inlineStr">
        <is>
          <t>KIT DE ACESSORIOS PARA BANHEIRO EM METAL CROMADO, 5 PECAS, INCLUSO FIXAÇÃO. AF_01/2020</t>
        </is>
      </c>
      <c r="E508" s="17" t="inlineStr">
        <is>
          <t>UN</t>
        </is>
      </c>
      <c r="F508" s="18" t="n">
        <v>2.0</v>
      </c>
      <c r="G508" s="19" t="n">
        <v>165.210357639</v>
      </c>
      <c r="H508" s="19" t="str">
        <f>ROUND(G508 * (1 + 32.78 / 100), 9)</f>
      </c>
      <c r="I508" s="19" t="str">
        <f>ROUND(F508 * h508, 9)</f>
      </c>
      <c r="J508" s="20" t="str">
        <f>i508 / 1181066.0424007571906268</f>
      </c>
    </row>
    <row customHeight="1" ht="26" r="509">
      <c r="A509" s="16" t="inlineStr">
        <is>
          <t> 5.12.19 </t>
        </is>
      </c>
      <c r="B509" s="18" t="inlineStr">
        <is>
          <t> 102235 </t>
        </is>
      </c>
      <c r="C509" s="16" t="inlineStr">
        <is>
          <t>SINAPI</t>
        </is>
      </c>
      <c r="D509" s="16" t="inlineStr">
        <is>
          <t>DIVISÓRIA FIXA EM VIDRO TEMPERADO 10 MM, SEM ABERTURA. AF_01/2021</t>
        </is>
      </c>
      <c r="E509" s="17" t="inlineStr">
        <is>
          <t>m²</t>
        </is>
      </c>
      <c r="F509" s="18" t="n">
        <v>7.6</v>
      </c>
      <c r="G509" s="19" t="n">
        <v>622.781733666</v>
      </c>
      <c r="H509" s="19" t="str">
        <f>ROUND(G509 * (1 + 32.78 / 100), 9)</f>
      </c>
      <c r="I509" s="19" t="str">
        <f>ROUND(F509 * h509, 9)</f>
      </c>
      <c r="J509" s="20" t="str">
        <f>i509 / 1181066.0424007571906268</f>
      </c>
    </row>
    <row customHeight="1" ht="24" r="510">
      <c r="A510" s="8" t="inlineStr">
        <is>
          <t> 5.13 </t>
        </is>
      </c>
      <c r="B510" s="8"/>
      <c r="C510" s="8"/>
      <c r="D510" s="8" t="inlineStr">
        <is>
          <t>DIVERSOS</t>
        </is>
      </c>
      <c r="E510" s="8"/>
      <c r="F510" s="10"/>
      <c r="G510" s="8"/>
      <c r="H510" s="8"/>
      <c r="I510" s="11" t="n">
        <v>27886.901001580543</v>
      </c>
      <c r="J510" s="12" t="str">
        <f>i510 / 1181066.0424007571906268</f>
      </c>
    </row>
    <row customHeight="1" ht="39" r="511">
      <c r="A511" s="16" t="inlineStr">
        <is>
          <t> 5.13.1 </t>
        </is>
      </c>
      <c r="B511" s="18" t="inlineStr">
        <is>
          <t> 13108 </t>
        </is>
      </c>
      <c r="C511" s="16" t="inlineStr">
        <is>
          <t>ORSE</t>
        </is>
      </c>
      <c r="D511" s="16" t="inlineStr">
        <is>
          <t>CONCERTINA EM AÇO GALVANIZADO, ESPIRAL DE Ø = 980MM, 5 CLIPES P/ ESPIRAL, LÂMINA DE 30MM E FIO INTERNO DE 2,75MM, INCLUSIVE INSTALAÇÃO</t>
        </is>
      </c>
      <c r="E511" s="17" t="inlineStr">
        <is>
          <t>m</t>
        </is>
      </c>
      <c r="F511" s="18" t="n">
        <v>47.95</v>
      </c>
      <c r="G511" s="19" t="n">
        <v>63.81367795</v>
      </c>
      <c r="H511" s="19" t="str">
        <f>ROUND(G511 * (1 + 32.78 / 100), 9)</f>
      </c>
      <c r="I511" s="19" t="str">
        <f>ROUND(F511 * h511, 9)</f>
      </c>
      <c r="J511" s="20" t="str">
        <f>i511 / 1181066.0424007571906268</f>
      </c>
    </row>
    <row customHeight="1" ht="26" r="512">
      <c r="A512" s="16" t="inlineStr">
        <is>
          <t> 5.13.2 </t>
        </is>
      </c>
      <c r="B512" s="18" t="inlineStr">
        <is>
          <t> 090151 </t>
        </is>
      </c>
      <c r="C512" s="16" t="inlineStr">
        <is>
          <t>SBC</t>
        </is>
      </c>
      <c r="D512" s="16" t="inlineStr">
        <is>
          <t>ALVENARIA TIJOLO REFRATARIO 2,5 x 11,4 x 22,9 CIM./AREIA 1:6</t>
        </is>
      </c>
      <c r="E512" s="17" t="inlineStr">
        <is>
          <t>m²</t>
        </is>
      </c>
      <c r="F512" s="18" t="n">
        <v>6.48</v>
      </c>
      <c r="G512" s="19" t="n">
        <v>1042.45984</v>
      </c>
      <c r="H512" s="19" t="str">
        <f>ROUND(G512 * (1 + 32.78 / 100), 9)</f>
      </c>
      <c r="I512" s="19" t="str">
        <f>ROUND(F512 * h512, 9)</f>
      </c>
      <c r="J512" s="20" t="str">
        <f>i512 / 1181066.0424007571906268</f>
      </c>
    </row>
    <row customHeight="1" ht="24" r="513">
      <c r="A513" s="16" t="inlineStr">
        <is>
          <t> 5.13.3 </t>
        </is>
      </c>
      <c r="B513" s="18" t="inlineStr">
        <is>
          <t> 190578 </t>
        </is>
      </c>
      <c r="C513" s="16" t="inlineStr">
        <is>
          <t>SBC</t>
        </is>
      </c>
      <c r="D513" s="16" t="inlineStr">
        <is>
          <t>ARMARIO SOB BANCAS-COMPENSADO/LAMINADO</t>
        </is>
      </c>
      <c r="E513" s="17" t="inlineStr">
        <is>
          <t>m²</t>
        </is>
      </c>
      <c r="F513" s="18" t="n">
        <v>2.96</v>
      </c>
      <c r="G513" s="19" t="n">
        <v>2450.0</v>
      </c>
      <c r="H513" s="19" t="str">
        <f>ROUND(G513 * (1 + 32.78 / 100), 9)</f>
      </c>
      <c r="I513" s="19" t="str">
        <f>ROUND(F513 * h513, 9)</f>
      </c>
      <c r="J513" s="20" t="str">
        <f>i513 / 1181066.0424007571906268</f>
      </c>
    </row>
    <row customHeight="1" ht="26" r="514">
      <c r="A514" s="16" t="inlineStr">
        <is>
          <t> 5.13.4 </t>
        </is>
      </c>
      <c r="B514" s="18" t="inlineStr">
        <is>
          <t> 12636 </t>
        </is>
      </c>
      <c r="C514" s="16" t="inlineStr">
        <is>
          <t>ORSE</t>
        </is>
      </c>
      <c r="D514" s="16" t="inlineStr">
        <is>
          <t>LIMPEZA DE CAIXA DE PASSAGEM OU DE GORDURA COM REASSENTAMENTO DA TAMPA</t>
        </is>
      </c>
      <c r="E514" s="17" t="inlineStr">
        <is>
          <t>un</t>
        </is>
      </c>
      <c r="F514" s="18" t="n">
        <v>10.0</v>
      </c>
      <c r="G514" s="19" t="n">
        <v>24.815240626</v>
      </c>
      <c r="H514" s="19" t="str">
        <f>ROUND(G514 * (1 + 32.78 / 100), 9)</f>
      </c>
      <c r="I514" s="19" t="str">
        <f>ROUND(F514 * h514, 9)</f>
      </c>
      <c r="J514" s="20" t="str">
        <f>i514 / 1181066.0424007571906268</f>
      </c>
    </row>
    <row customHeight="1" ht="24" r="515">
      <c r="A515" s="16" t="inlineStr">
        <is>
          <t> 5.13.5 </t>
        </is>
      </c>
      <c r="B515" s="18" t="inlineStr">
        <is>
          <t> 12637 </t>
        </is>
      </c>
      <c r="C515" s="16" t="inlineStr">
        <is>
          <t>ORSE</t>
        </is>
      </c>
      <c r="D515" s="16" t="inlineStr">
        <is>
          <t>LIMPEZA DE FOSSA ATÉ 5M³</t>
        </is>
      </c>
      <c r="E515" s="17" t="inlineStr">
        <is>
          <t>un</t>
        </is>
      </c>
      <c r="F515" s="18" t="n">
        <v>1.0</v>
      </c>
      <c r="G515" s="19" t="n">
        <v>350.0</v>
      </c>
      <c r="H515" s="19" t="str">
        <f>ROUND(G515 * (1 + 32.78 / 100), 9)</f>
      </c>
      <c r="I515" s="19" t="str">
        <f>ROUND(F515 * h515, 9)</f>
      </c>
      <c r="J515" s="20" t="str">
        <f>i515 / 1181066.0424007571906268</f>
      </c>
    </row>
    <row customHeight="1" ht="24" r="516">
      <c r="A516" s="16" t="inlineStr">
        <is>
          <t> 5.13.6 </t>
        </is>
      </c>
      <c r="B516" s="18" t="inlineStr">
        <is>
          <t> 00000223 </t>
        </is>
      </c>
      <c r="C516" s="16" t="inlineStr">
        <is>
          <t>Próprio</t>
        </is>
      </c>
      <c r="D516" s="16" t="inlineStr">
        <is>
          <t>MOTOR PARA PORTÃO DESLIZANTE</t>
        </is>
      </c>
      <c r="E516" s="17" t="inlineStr">
        <is>
          <t>UND</t>
        </is>
      </c>
      <c r="F516" s="18" t="n">
        <v>1.0</v>
      </c>
      <c r="G516" s="19" t="n">
        <v>632.6884245</v>
      </c>
      <c r="H516" s="19" t="str">
        <f>ROUND(G516 * (1 + 32.78 / 100), 9)</f>
      </c>
      <c r="I516" s="19" t="str">
        <f>ROUND(F516 * h516, 9)</f>
      </c>
      <c r="J516" s="20" t="str">
        <f>i516 / 1181066.0424007571906268</f>
      </c>
    </row>
    <row customHeight="1" ht="24" r="517">
      <c r="A517" s="16" t="inlineStr">
        <is>
          <t> 5.13.7 </t>
        </is>
      </c>
      <c r="B517" s="18" t="inlineStr">
        <is>
          <t> 00000224 </t>
        </is>
      </c>
      <c r="C517" s="16" t="inlineStr">
        <is>
          <t>Próprio</t>
        </is>
      </c>
      <c r="D517" s="16" t="inlineStr">
        <is>
          <t>FECHADURA ELÉTRICA</t>
        </is>
      </c>
      <c r="E517" s="17" t="inlineStr">
        <is>
          <t>UND</t>
        </is>
      </c>
      <c r="F517" s="18" t="n">
        <v>1.0</v>
      </c>
      <c r="G517" s="19" t="n">
        <v>254.3124406</v>
      </c>
      <c r="H517" s="19" t="str">
        <f>ROUND(G517 * (1 + 32.78 / 100), 9)</f>
      </c>
      <c r="I517" s="19" t="str">
        <f>ROUND(F517 * h517, 9)</f>
      </c>
      <c r="J517" s="20" t="str">
        <f>i517 / 1181066.0424007571906268</f>
      </c>
    </row>
    <row customHeight="1" ht="24" r="518">
      <c r="A518" s="16" t="inlineStr">
        <is>
          <t> 5.13.8 </t>
        </is>
      </c>
      <c r="B518" s="18" t="inlineStr">
        <is>
          <t> 00000225 </t>
        </is>
      </c>
      <c r="C518" s="16" t="inlineStr">
        <is>
          <t>Próprio</t>
        </is>
      </c>
      <c r="D518" s="16" t="inlineStr">
        <is>
          <t>KIT CERCA ELÉTRICA INDUSTRIAL</t>
        </is>
      </c>
      <c r="E518" s="17" t="inlineStr">
        <is>
          <t>UND</t>
        </is>
      </c>
      <c r="F518" s="18" t="n">
        <v>1.0</v>
      </c>
      <c r="G518" s="19" t="n">
        <v>1470.8236136</v>
      </c>
      <c r="H518" s="19" t="str">
        <f>ROUND(G518 * (1 + 32.78 / 100), 9)</f>
      </c>
      <c r="I518" s="19" t="str">
        <f>ROUND(F518 * h518, 9)</f>
      </c>
      <c r="J518" s="20" t="str">
        <f>i518 / 1181066.0424007571906268</f>
      </c>
    </row>
    <row customHeight="1" ht="39" r="519">
      <c r="A519" s="16" t="inlineStr">
        <is>
          <t> 5.13.9 </t>
        </is>
      </c>
      <c r="B519" s="18" t="inlineStr">
        <is>
          <t> 98534 </t>
        </is>
      </c>
      <c r="C519" s="16" t="inlineStr">
        <is>
          <t>SINAPI</t>
        </is>
      </c>
      <c r="D519" s="16" t="inlineStr">
        <is>
          <t>PODA EM ALTURA DE ÁRVORE COM DIÂMETRO DE TRONCO MAIOR OU IGUAL A 0,40 M E MENOR QUE 0,60 M.AF_05/2018</t>
        </is>
      </c>
      <c r="E519" s="17" t="inlineStr">
        <is>
          <t>UN</t>
        </is>
      </c>
      <c r="F519" s="18" t="n">
        <v>1.0</v>
      </c>
      <c r="G519" s="19" t="n">
        <v>768.450185424</v>
      </c>
      <c r="H519" s="19" t="str">
        <f>ROUND(G519 * (1 + 32.78 / 100), 9)</f>
      </c>
      <c r="I519" s="19" t="str">
        <f>ROUND(F519 * h519, 9)</f>
      </c>
      <c r="J519" s="20" t="str">
        <f>i519 / 1181066.0424007571906268</f>
      </c>
    </row>
    <row customHeight="1" ht="26" r="520">
      <c r="A520" s="16" t="inlineStr">
        <is>
          <t> 5.13.10 </t>
        </is>
      </c>
      <c r="B520" s="18" t="inlineStr">
        <is>
          <t> 97595 </t>
        </is>
      </c>
      <c r="C520" s="16" t="inlineStr">
        <is>
          <t>SINAPI</t>
        </is>
      </c>
      <c r="D520" s="16" t="inlineStr">
        <is>
          <t>SENSOR DE PRESENÇA COM FOTOCÉLULA, FIXAÇÃO EM PAREDE - FORNECIMENTO E INSTALAÇÃO. AF_02/2020</t>
        </is>
      </c>
      <c r="E520" s="17" t="inlineStr">
        <is>
          <t>UN</t>
        </is>
      </c>
      <c r="F520" s="18" t="n">
        <v>2.0</v>
      </c>
      <c r="G520" s="19" t="n">
        <v>105.451375994</v>
      </c>
      <c r="H520" s="19" t="str">
        <f>ROUND(G520 * (1 + 32.78 / 100), 9)</f>
      </c>
      <c r="I520" s="19" t="str">
        <f>ROUND(F520 * h520, 9)</f>
      </c>
      <c r="J520" s="20" t="str">
        <f>i520 / 1181066.0424007571906268</f>
      </c>
    </row>
    <row customHeight="1" ht="24" r="521">
      <c r="A521" s="8" t="inlineStr">
        <is>
          <t> 6 </t>
        </is>
      </c>
      <c r="B521" s="8"/>
      <c r="C521" s="8"/>
      <c r="D521" s="8" t="inlineStr">
        <is>
          <t>LIMPEZA E ENTREGA DA OBRA</t>
        </is>
      </c>
      <c r="E521" s="8"/>
      <c r="F521" s="10"/>
      <c r="G521" s="8"/>
      <c r="H521" s="8"/>
      <c r="I521" s="11" t="n">
        <v>5380.518964702176</v>
      </c>
      <c r="J521" s="12" t="str">
        <f>i521 / 1181066.0424007571906268</f>
      </c>
    </row>
    <row customHeight="1" ht="24" r="522">
      <c r="A522" s="16" t="inlineStr">
        <is>
          <t> 6.1 </t>
        </is>
      </c>
      <c r="B522" s="18" t="inlineStr">
        <is>
          <t> 9537 </t>
        </is>
      </c>
      <c r="C522" s="16" t="inlineStr">
        <is>
          <t>SINAPI</t>
        </is>
      </c>
      <c r="D522" s="16" t="inlineStr">
        <is>
          <t>LIMPEZA FINAL DA OBRA</t>
        </is>
      </c>
      <c r="E522" s="17" t="inlineStr">
        <is>
          <t>m²</t>
        </is>
      </c>
      <c r="F522" s="18" t="n">
        <v>1236.0</v>
      </c>
      <c r="G522" s="19" t="n">
        <v>3.27848372</v>
      </c>
      <c r="H522" s="19" t="str">
        <f>ROUND(G522 * (1 + 32.78 / 100), 9)</f>
      </c>
      <c r="I522" s="19" t="str">
        <f>ROUND(F522 * h522, 9)</f>
      </c>
      <c r="J522" s="20" t="str">
        <f>i522 / 1181066.0424007571906268</f>
      </c>
    </row>
    <row r="523">
      <c r="A523" s="66"/>
      <c r="B523" s="66"/>
      <c r="C523" s="66"/>
      <c r="D523" s="66"/>
      <c r="E523" s="66"/>
      <c r="F523" s="66"/>
      <c r="G523" s="66"/>
      <c r="H523" s="66"/>
      <c r="I523" s="66"/>
      <c r="J523" s="66"/>
    </row>
    <row r="524">
      <c r="A524" s="58"/>
      <c r="B524" s="58"/>
      <c r="C524" s="58"/>
      <c r="D524" s="65"/>
      <c r="E524" s="58"/>
      <c r="F524" s="56" t="inlineStr">
        <is>
          <t>Total sem BDI</t>
        </is>
      </c>
      <c r="G524" s="58"/>
      <c r="H524" s="59" t="n">
        <v>889490.9191148947</v>
      </c>
      <c r="I524" s="58"/>
      <c r="J524" s="58"/>
    </row>
    <row r="525">
      <c r="A525" s="58"/>
      <c r="B525" s="58"/>
      <c r="C525" s="58"/>
      <c r="D525" s="65"/>
      <c r="E525" s="58"/>
      <c r="F525" s="56" t="inlineStr">
        <is>
          <t>Total do BDI</t>
        </is>
      </c>
      <c r="G525" s="58"/>
      <c r="H525" s="59" t="n">
        <v>291575.1232858625</v>
      </c>
      <c r="I525" s="58"/>
      <c r="J525" s="58"/>
    </row>
    <row r="526">
      <c r="A526" s="58"/>
      <c r="B526" s="58"/>
      <c r="C526" s="58"/>
      <c r="D526" s="65"/>
      <c r="E526" s="58"/>
      <c r="F526" s="56" t="inlineStr">
        <is>
          <t>Total Geral</t>
        </is>
      </c>
      <c r="G526" s="58"/>
      <c r="H526" s="59" t="n">
        <v>1181066.042400757</v>
      </c>
      <c r="I526" s="58"/>
      <c r="J526" s="58"/>
    </row>
    <row customHeight="1" ht="60" r="527">
      <c r="A527" s="57"/>
      <c r="B527" s="57"/>
      <c r="C527" s="57"/>
      <c r="D527" s="57"/>
      <c r="E527" s="57"/>
      <c r="F527" s="57"/>
      <c r="G527" s="57"/>
      <c r="H527" s="57"/>
      <c r="I527" s="57"/>
      <c r="J527" s="57"/>
    </row>
    <row customHeight="1" ht="70" r="528">
      <c r="A528" s="66" t="inlineStr">
        <is>
          <t>_______________________________________________________________
</t>
        </is>
      </c>
    </row>
  </sheetData>
  <sheetCalcPr fullCalcOnLoad="1"/>
  <mergeCells count="17">
    <mergeCell ref="E1:f1"/>
    <mergeCell ref="g1:h1"/>
    <mergeCell ref="i1:j1"/>
    <mergeCell ref="E2:f2"/>
    <mergeCell ref="g2:h2"/>
    <mergeCell ref="i2:j2"/>
    <mergeCell ref="A3:j3"/>
    <mergeCell ref="A524:C524"/>
    <mergeCell ref="f524:g524"/>
    <mergeCell ref="h524:j524"/>
    <mergeCell ref="A525:C525"/>
    <mergeCell ref="f525:g525"/>
    <mergeCell ref="h525:j525"/>
    <mergeCell ref="A526:C526"/>
    <mergeCell ref="f526:g526"/>
    <mergeCell ref="h526:j526"/>
    <mergeCell ref="A528:j528"/>
  </mergeCells>
  <printOptions verticalCentered="0" horizontalCentered="0" headings="0" gridLines="0"/>
  <pageMargins right="0.5" left="0.5" bottom="1" top="1" footer="0.5" header="0.5"/>
  <pageSetup fitToWidth="1" fitToHeight="0" paperSize="9" orientation="landscape"/>
  <headerFooter differentFirst="0">
    <oddHeader>&amp;L &amp;C &amp;R</oddHeader>
    <oddFooter>&amp;L &amp;C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2024-04-26T12:39:41Z</dcterms:created>
  <cp:revision>0</cp:revision>
</cp:coreProperties>
</file>